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Meal Plan" sheetId="2" state="visible" r:id="rId4"/>
    <sheet name="Shopping List" sheetId="3" state="visible" r:id="rId5"/>
    <sheet name="Nutrition 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<sst xmlns="http://schemas.openxmlformats.org/spreadsheetml/2006/main" count="486" uniqueCount="347">
  <si>
    <t xml:space="preserve">From Chesapeake to Tahiti: The Complete Passage Provisioning Planner</t>
  </si>
  <si>
    <t xml:space="preserve">Assumptions &amp; Science-Based Daily Targets</t>
  </si>
  <si>
    <t xml:space="preserve">Captain Nina Preuss  |  www.enjoysailing.us/books</t>
  </si>
  <si>
    <t xml:space="preserve">TRIP ASSUMPTIONS</t>
  </si>
  <si>
    <t xml:space="preserve">People aboard</t>
  </si>
  <si>
    <t xml:space="preserve">people</t>
  </si>
  <si>
    <t xml:space="preserve">Change to adjust entire planner</t>
  </si>
  <si>
    <t xml:space="preserve">Days out</t>
  </si>
  <si>
    <t xml:space="preserve">days</t>
  </si>
  <si>
    <t xml:space="preserve">Total passage length</t>
  </si>
  <si>
    <t xml:space="preserve">CHANGE NO PEOPLE / DAYS (cell B5 &amp; B6) TO PLAN ANY PASSAGE</t>
  </si>
  <si>
    <t xml:space="preserve">2–3 nights = Weekend Chesapeake hop</t>
  </si>
  <si>
    <t xml:space="preserve">→ change B6 to 2 or 3</t>
  </si>
  <si>
    <t xml:space="preserve">7–14 days = Coastal cruise or Caribbean legs</t>
  </si>
  <si>
    <t xml:space="preserve">→ change B6 to 7–14</t>
  </si>
  <si>
    <t xml:space="preserve">Bluewater / Pacific crossing</t>
  </si>
  <si>
    <t xml:space="preserve">→ change B6 to 30</t>
  </si>
  <si>
    <t xml:space="preserve">total dinners</t>
  </si>
  <si>
    <t xml:space="preserve">Every 3rd day</t>
  </si>
  <si>
    <t xml:space="preserve">Dinners out</t>
  </si>
  <si>
    <t xml:space="preserve">Lunches out</t>
  </si>
  <si>
    <t xml:space="preserve">total lunches</t>
  </si>
  <si>
    <t xml:space="preserve">Breakfast always aboard</t>
  </si>
  <si>
    <t xml:space="preserve">YES</t>
  </si>
  <si>
    <t xml:space="preserve">CHANGE NO MEALS IN/OUT  (cells B11, B12, B13) TO PLAN ANY PASSAGE</t>
  </si>
  <si>
    <t xml:space="preserve">DERIVED MEAL COUNTS</t>
  </si>
  <si>
    <t xml:space="preserve">Total breakfasts to provision</t>
  </si>
  <si>
    <t xml:space="preserve">B5 × B6</t>
  </si>
  <si>
    <t xml:space="preserve">Total lunches to provision</t>
  </si>
  <si>
    <t xml:space="preserve">(B6 − B8) × B5</t>
  </si>
  <si>
    <t xml:space="preserve">Total dinners to provision</t>
  </si>
  <si>
    <t xml:space="preserve">(B6 − B7) × B5</t>
  </si>
  <si>
    <t xml:space="preserve">Total meals to provision</t>
  </si>
  <si>
    <t xml:space="preserve">Sum B12:B14</t>
  </si>
  <si>
    <t xml:space="preserve">SCIENCE-BASED DAILY NUTRITION TARGETS  (per person)</t>
  </si>
  <si>
    <t xml:space="preserve">Rate
(lb/person/day)</t>
  </si>
  <si>
    <t xml:space="preserve">Protein</t>
  </si>
  <si>
    <t xml:space="preserve">0.7–1.0 lb / day</t>
  </si>
  <si>
    <t xml:space="preserve">Planner uses 0.8 lb/person/day</t>
  </si>
  <si>
    <t xml:space="preserve">USDA: 0.36g/lb body weight min; active adults 0.6–0.9g/lb. Offshore activity = upper range. Mid = 0.8 lb used in planner.</t>
  </si>
  <si>
    <t xml:space="preserve">Vegetables</t>
  </si>
  <si>
    <t xml:space="preserve">1.1–1.5 lb / day</t>
  </si>
  <si>
    <t xml:space="preserve">Planner uses 1.25 lb/person/day</t>
  </si>
  <si>
    <t xml:space="preserve">USDA MyPlate: 2.5–3 cups/day cooked ≈ 1.1–1.5 lb. Mid = 1.25 lb used in planner.</t>
  </si>
  <si>
    <t xml:space="preserve">Fruit</t>
  </si>
  <si>
    <t xml:space="preserve">0.5–0.8 lb / day</t>
  </si>
  <si>
    <t xml:space="preserve">Planner uses 0.65 lb/person/day</t>
  </si>
  <si>
    <t xml:space="preserve">USDA MyPlate: 1.5–2 cups/day fruit ≈ 0.5–0.8 lb. Mid = 0.65 lb used in planner.</t>
  </si>
  <si>
    <t xml:space="preserve">Grains/starches</t>
  </si>
  <si>
    <t xml:space="preserve">0.4–0.8 lb / day</t>
  </si>
  <si>
    <t xml:space="preserve">Planner uses 0.6 lb/person/day</t>
  </si>
  <si>
    <t xml:space="preserve">USDA MyPlate: 6–8 oz grain equiv/day ≈ 0.4–0.8 lb dry weight. Mid = 0.6 lb used in planner.</t>
  </si>
  <si>
    <t xml:space="preserve">Fats/oils/dairy</t>
  </si>
  <si>
    <t xml:space="preserve">0.3–0.5 lb / day</t>
  </si>
  <si>
    <t xml:space="preserve">Planner uses 0.4 lb/person/day</t>
  </si>
  <si>
    <t xml:space="preserve">Includes cooking fats, dairy, condiments. Combined allowance ≈ 0.3–0.5 lb. Mid = 0.4 lb used in planner.</t>
  </si>
  <si>
    <t xml:space="preserve">Water</t>
  </si>
  <si>
    <t xml:space="preserve">0.5–1.5 gal / day</t>
  </si>
  <si>
    <t xml:space="preserve">Planner uses 1.0 gal/person/day</t>
  </si>
  <si>
    <t xml:space="preserve">WHO/ACSM: 2.7–3.7 L/day at rest; offshore heat &amp; activity = ~1 gal (3.8 L)/person/day. Tropical passages: use 1.25–1.5. Includes drinking + cooking.</t>
  </si>
  <si>
    <t xml:space="preserve">BEVERAGE ASSUMPTIONS  (per person per day — change E column to adjust liquids total in Meal Plan)</t>
  </si>
  <si>
    <t xml:space="preserve">Coffee</t>
  </si>
  <si>
    <t xml:space="preserve">8–24 fl oz / day</t>
  </si>
  <si>
    <t xml:space="preserve">Planner uses 16 fl oz/person/day (2 cups)</t>
  </si>
  <si>
    <t xml:space="preserve">Typical offshore: 1–3 cups/day. 16 fl oz = 2 cups used as default.</t>
  </si>
  <si>
    <t xml:space="preserve">Tea</t>
  </si>
  <si>
    <t xml:space="preserve">0–16 fl oz / day</t>
  </si>
  <si>
    <t xml:space="preserve">Planner uses 8 fl oz/person/day (1 cup)</t>
  </si>
  <si>
    <t xml:space="preserve">Night watches, digestion. 8 fl oz = 1 cup used as default.</t>
  </si>
  <si>
    <t xml:space="preserve">Wine / beer</t>
  </si>
  <si>
    <t xml:space="preserve">0–12 fl oz / day</t>
  </si>
  <si>
    <t xml:space="preserve">Planner uses 5 fl oz/person/day (1 glass)</t>
  </si>
  <si>
    <t xml:space="preserve">Sundowner tradition. 5 fl oz = 1 glass wine. Set to 0 for dry passages.</t>
  </si>
  <si>
    <t xml:space="preserve">Other (juice / electrolytes)</t>
  </si>
  <si>
    <t xml:space="preserve">Planner uses 8 fl oz/person/day</t>
  </si>
  <si>
    <t xml:space="preserve">Sports drinks, juice, electrolyte mixes — especially in tropics. Set to 0 if not used.</t>
  </si>
  <si>
    <t xml:space="preserve">Sources: USDA Dietary Guidelines 2020–2025; American College of Sports Medicine protein recommendations for active adults; USDA MyPlate portion guidance.</t>
  </si>
  <si>
    <t xml:space="preserve">Blue cells = inputs you can change  |  Teal cells = calculated  |  Adjust people/days/meals out to replan instantly</t>
  </si>
  <si>
    <t xml:space="preserve">Meals eaten out shown in italics  |  Nutrition targets reference Assumptions sheet</t>
  </si>
  <si>
    <t xml:space="preserve">Day</t>
  </si>
  <si>
    <t xml:space="preserve">Passage Day</t>
  </si>
  <si>
    <t xml:space="preserve">Breakfast</t>
  </si>
  <si>
    <t xml:space="preserve">Lunch</t>
  </si>
  <si>
    <t xml:space="preserve">Dinner</t>
  </si>
  <si>
    <t xml:space="preserve">Meals
Aboard</t>
  </si>
  <si>
    <t xml:space="preserve">Protein
(lb)</t>
  </si>
  <si>
    <t xml:space="preserve">Veg
(lb)</t>
  </si>
  <si>
    <t xml:space="preserve">Fruit
(lb)</t>
  </si>
  <si>
    <t xml:space="preserve">Grains
(lb)</t>
  </si>
  <si>
    <t xml:space="preserve">Notes</t>
  </si>
  <si>
    <t xml:space="preserve">Liquids
(gal)</t>
  </si>
  <si>
    <t xml:space="preserve">Departure day</t>
  </si>
  <si>
    <t xml:space="preserve">Eggs scrambled, fruit, coffee</t>
  </si>
  <si>
    <t xml:space="preserve">Wraps, hard cheese, raw veg</t>
  </si>
  <si>
    <t xml:space="preserve">Vacuum seal: pasta bolognese</t>
  </si>
  <si>
    <t xml:space="preserve">Departure — provision fresh items</t>
  </si>
  <si>
    <t xml:space="preserve">Day 2 — underway</t>
  </si>
  <si>
    <t xml:space="preserve">Granola, yogurt, banana</t>
  </si>
  <si>
    <t xml:space="preserve">— Eat out: waterfront café</t>
  </si>
  <si>
    <t xml:space="preserve">Fresh cook: salmon, rice, veg</t>
  </si>
  <si>
    <t xml:space="preserve">Lunch out</t>
  </si>
  <si>
    <t xml:space="preserve">Day 3 — at anchor</t>
  </si>
  <si>
    <t xml:space="preserve">Eggs fried, toast, juice</t>
  </si>
  <si>
    <t xml:space="preserve">Sandwiches, olives, fruit</t>
  </si>
  <si>
    <t xml:space="preserve">— Eat out: sunset dinner</t>
  </si>
  <si>
    <t xml:space="preserve">Dinner out</t>
  </si>
  <si>
    <t xml:space="preserve">Day 4 — coastal hop</t>
  </si>
  <si>
    <t xml:space="preserve">Oatmeal, dried fruit, coffee</t>
  </si>
  <si>
    <t xml:space="preserve">— Eat out: marina fish shack</t>
  </si>
  <si>
    <t xml:space="preserve">Vacuum seal: chicken cacciatore</t>
  </si>
  <si>
    <t xml:space="preserve">Day 5 — mid-passage</t>
  </si>
  <si>
    <t xml:space="preserve">Eggs Benedict, fruit</t>
  </si>
  <si>
    <t xml:space="preserve">Leftovers, crackers, cheese</t>
  </si>
  <si>
    <t xml:space="preserve">Fresh cook: fish tacos, slaw</t>
  </si>
  <si>
    <t xml:space="preserve">Mid-passage check stores</t>
  </si>
  <si>
    <t xml:space="preserve">Day 6 — layover</t>
  </si>
  <si>
    <t xml:space="preserve">Granola, fresh fruit, coffee</t>
  </si>
  <si>
    <t xml:space="preserve">— Eat out: local restaurant</t>
  </si>
  <si>
    <t xml:space="preserve">— Eat out: local seafood</t>
  </si>
  <si>
    <t xml:space="preserve">Lunch out  Dinner out</t>
  </si>
  <si>
    <t xml:space="preserve">Day 7 — underway</t>
  </si>
  <si>
    <t xml:space="preserve">Pancakes, maple syrup</t>
  </si>
  <si>
    <t xml:space="preserve">Wraps, hummus, raw veg</t>
  </si>
  <si>
    <t xml:space="preserve">Vacuum seal: sautéed veg, pasta</t>
  </si>
  <si>
    <t xml:space="preserve">Day 8 — at anchor</t>
  </si>
  <si>
    <t xml:space="preserve">Yogurt parfait, granola</t>
  </si>
  <si>
    <t xml:space="preserve">— Eat out: anchorage dinghy dock</t>
  </si>
  <si>
    <t xml:space="preserve">Fresh cook: steak, roasted veg</t>
  </si>
  <si>
    <t xml:space="preserve">Day 9 — coastal</t>
  </si>
  <si>
    <t xml:space="preserve">Eggs any style, fruit</t>
  </si>
  <si>
    <t xml:space="preserve">Crackers, tuna, raw veg</t>
  </si>
  <si>
    <t xml:space="preserve">— Eat out: anchorage potluck</t>
  </si>
  <si>
    <t xml:space="preserve">Day 10 — arrival</t>
  </si>
  <si>
    <t xml:space="preserve">Overnight oats, coffee</t>
  </si>
  <si>
    <t xml:space="preserve">Sandwiches, hard boiled eggs</t>
  </si>
  <si>
    <t xml:space="preserve">Vacuum seal: curry, rice</t>
  </si>
  <si>
    <t xml:space="preserve">Arrival — use remaining perishables</t>
  </si>
  <si>
    <t xml:space="preserve">TOTALS</t>
  </si>
  <si>
    <t xml:space="preserve">Total weight = rough shopping guide</t>
  </si>
  <si>
    <t xml:space="preserve">SUMMARY</t>
  </si>
  <si>
    <t xml:space="preserve">Protein total (lb)</t>
  </si>
  <si>
    <t xml:space="preserve">Veg total (lb)</t>
  </si>
  <si>
    <t xml:space="preserve">Fruit total (lb)</t>
  </si>
  <si>
    <t xml:space="preserve">Grains total (lb)</t>
  </si>
  <si>
    <t xml:space="preserve">All weights = both people combined</t>
  </si>
  <si>
    <t xml:space="preserve">Total liquids (gal)</t>
  </si>
  <si>
    <t xml:space="preserve">Shop dry → cold → frozen</t>
  </si>
  <si>
    <t xml:space="preserve">Scaled Qty</t>
  </si>
  <si>
    <t xml:space="preserve">Italics = refrigerate  |  Bold = freeze  |  Check = pre-treat at home (microwave/freeze)</t>
  </si>
  <si>
    <t xml:space="preserve">Item</t>
  </si>
  <si>
    <t xml:space="preserve">Category</t>
  </si>
  <si>
    <t xml:space="preserve">Unit</t>
  </si>
  <si>
    <t xml:space="preserve">Your Trip</t>
  </si>
  <si>
    <t xml:space="preserve">PROTEINS</t>
  </si>
  <si>
    <t xml:space="preserve">Proteins — Dry/Shelf</t>
  </si>
  <si>
    <t xml:space="preserve">Canned tuna or salmon</t>
  </si>
  <si>
    <t xml:space="preserve">Protein — dry</t>
  </si>
  <si>
    <t xml:space="preserve">10</t>
  </si>
  <si>
    <t xml:space="preserve">cans</t>
  </si>
  <si>
    <t xml:space="preserve">Remove labels, Sharpie top</t>
  </si>
  <si>
    <t xml:space="preserve">Canned chicken</t>
  </si>
  <si>
    <t xml:space="preserve">6</t>
  </si>
  <si>
    <t xml:space="preserve">Remove labels</t>
  </si>
  <si>
    <t xml:space="preserve">Jerky</t>
  </si>
  <si>
    <t xml:space="preserve">1</t>
  </si>
  <si>
    <t xml:space="preserve">lb</t>
  </si>
  <si>
    <t xml:space="preserve">Snacks + passage</t>
  </si>
  <si>
    <t xml:space="preserve">Peanut butter</t>
  </si>
  <si>
    <t xml:space="preserve">jar</t>
  </si>
  <si>
    <t xml:space="preserve">Crackers, oats, snacks</t>
  </si>
  <si>
    <t xml:space="preserve">Nuts (mixed)</t>
  </si>
  <si>
    <t xml:space="preserve">2</t>
  </si>
  <si>
    <t xml:space="preserve">Snacks, watch food</t>
  </si>
  <si>
    <t xml:space="preserve">Proteins — Refrigerated</t>
  </si>
  <si>
    <t xml:space="preserve">Eggs (unwashed farm)</t>
  </si>
  <si>
    <t xml:space="preserve">Protein — cold</t>
  </si>
  <si>
    <t xml:space="preserve">dozen</t>
  </si>
  <si>
    <t xml:space="preserve">30+ days no fridge, flip daily</t>
  </si>
  <si>
    <t xml:space="preserve">Hard boiled eggs (pre-made)</t>
  </si>
  <si>
    <t xml:space="preserve">12</t>
  </si>
  <si>
    <t xml:space="preserve">eggs</t>
  </si>
  <si>
    <t xml:space="preserve">Make before departure, ~1 wk no fridge</t>
  </si>
  <si>
    <t xml:space="preserve">Hard cheese (cheddar/parmesan)</t>
  </si>
  <si>
    <t xml:space="preserve">1.5</t>
  </si>
  <si>
    <t xml:space="preserve">No fridge needed once waxed/vacuum sealed</t>
  </si>
  <si>
    <t xml:space="preserve">Cured meats (salami etc)</t>
  </si>
  <si>
    <t xml:space="preserve">0.75</t>
  </si>
  <si>
    <t xml:space="preserve">No fridge until opened</t>
  </si>
  <si>
    <t xml:space="preserve">Proteins — Frozen</t>
  </si>
  <si>
    <t xml:space="preserve">Vacuum-sealed meals (pre-made)</t>
  </si>
  <si>
    <t xml:space="preserve">Protein — freeze</t>
  </si>
  <si>
    <t xml:space="preserve">7</t>
  </si>
  <si>
    <t xml:space="preserve">bags</t>
  </si>
  <si>
    <t xml:space="preserve">Salmon fillets (Costco)</t>
  </si>
  <si>
    <t xml:space="preserve">Vacuum seal in meal portions</t>
  </si>
  <si>
    <t xml:space="preserve">Chicken thighs</t>
  </si>
  <si>
    <t xml:space="preserve">Vacuum seal, label, freeze flat</t>
  </si>
  <si>
    <t xml:space="preserve">VEGETABLES</t>
  </si>
  <si>
    <t xml:space="preserve">Vegetables — Fresh (use first)</t>
  </si>
  <si>
    <t xml:space="preserve">Carrots</t>
  </si>
  <si>
    <t xml:space="preserve">Veg — fresh</t>
  </si>
  <si>
    <t xml:space="preserve">Weeks at room temp, snacks + cooking</t>
  </si>
  <si>
    <t xml:space="preserve">Celery</t>
  </si>
  <si>
    <t xml:space="preserve">bunch</t>
  </si>
  <si>
    <t xml:space="preserve">Snacks, stir-fry</t>
  </si>
  <si>
    <t xml:space="preserve">Snap peas</t>
  </si>
  <si>
    <t xml:space="preserve">0.5</t>
  </si>
  <si>
    <t xml:space="preserve">Snacks first few days</t>
  </si>
  <si>
    <t xml:space="preserve">Cabbage</t>
  </si>
  <si>
    <t xml:space="preserve">head</t>
  </si>
  <si>
    <t xml:space="preserve">Weeks room temp, slaws, stir-fry</t>
  </si>
  <si>
    <t xml:space="preserve">Onions</t>
  </si>
  <si>
    <t xml:space="preserve">Weeks room temp</t>
  </si>
  <si>
    <t xml:space="preserve">Garlic</t>
  </si>
  <si>
    <t xml:space="preserve">Bell peppers</t>
  </si>
  <si>
    <t xml:space="preserve">4</t>
  </si>
  <si>
    <t xml:space="preserve">peppers</t>
  </si>
  <si>
    <t xml:space="preserve">Use days 1–4</t>
  </si>
  <si>
    <t xml:space="preserve">Tomatoes</t>
  </si>
  <si>
    <t xml:space="preserve">medium</t>
  </si>
  <si>
    <t xml:space="preserve">Use days 1–3</t>
  </si>
  <si>
    <t xml:space="preserve">Vegetables — Shelf Stable</t>
  </si>
  <si>
    <t xml:space="preserve">Canned tomatoes</t>
  </si>
  <si>
    <t xml:space="preserve">Veg — canned</t>
  </si>
  <si>
    <t xml:space="preserve">Canned corn</t>
  </si>
  <si>
    <t xml:space="preserve">3</t>
  </si>
  <si>
    <t xml:space="preserve">Canned beans (mixed)</t>
  </si>
  <si>
    <t xml:space="preserve">Protein + veg, remove labels</t>
  </si>
  <si>
    <t xml:space="preserve">Sun-dried tomatoes</t>
  </si>
  <si>
    <t xml:space="preserve">Veg — dry</t>
  </si>
  <si>
    <t xml:space="preserve">bag</t>
  </si>
  <si>
    <t xml:space="preserve">Pasta, flavor</t>
  </si>
  <si>
    <t xml:space="preserve">FRUIT</t>
  </si>
  <si>
    <t xml:space="preserve">Fruit — Fresh (use first)</t>
  </si>
  <si>
    <t xml:space="preserve">Bananas</t>
  </si>
  <si>
    <t xml:space="preserve">Fruit — fresh</t>
  </si>
  <si>
    <t xml:space="preserve">bananas</t>
  </si>
  <si>
    <t xml:space="preserve">Hang — ripen slower, use early</t>
  </si>
  <si>
    <t xml:space="preserve">Apples</t>
  </si>
  <si>
    <t xml:space="preserve">apples</t>
  </si>
  <si>
    <t xml:space="preserve">2+ weeks room temp</t>
  </si>
  <si>
    <t xml:space="preserve">Oranges / citrus</t>
  </si>
  <si>
    <t xml:space="preserve">8</t>
  </si>
  <si>
    <t xml:space="preserve">pieces</t>
  </si>
  <si>
    <t xml:space="preserve">2+ weeks room temp, vitamin C</t>
  </si>
  <si>
    <t xml:space="preserve">Fruit — Shelf Stable</t>
  </si>
  <si>
    <t xml:space="preserve">Dried mango</t>
  </si>
  <si>
    <t xml:space="preserve">Fruit — dry</t>
  </si>
  <si>
    <t xml:space="preserve">Snacks, oatmeal</t>
  </si>
  <si>
    <t xml:space="preserve">Dried apricots</t>
  </si>
  <si>
    <t xml:space="preserve">Snacks, energy</t>
  </si>
  <si>
    <t xml:space="preserve">Raisins</t>
  </si>
  <si>
    <t xml:space="preserve">Oatmeal, trail mix</t>
  </si>
  <si>
    <t xml:space="preserve">GRAINS &amp; STARCHES</t>
  </si>
  <si>
    <t xml:space="preserve">Pasta (various) ✓</t>
  </si>
  <si>
    <t xml:space="preserve">Grains</t>
  </si>
  <si>
    <t xml:space="preserve">PRE-TREAT: freeze 4 days or microwave</t>
  </si>
  <si>
    <t xml:space="preserve">Rice ✓</t>
  </si>
  <si>
    <t xml:space="preserve">Oatmeal ✓</t>
  </si>
  <si>
    <t xml:space="preserve">PRE-TREAT: freeze or microwave</t>
  </si>
  <si>
    <t xml:space="preserve">Crackers ✓</t>
  </si>
  <si>
    <t xml:space="preserve">boxes</t>
  </si>
  <si>
    <t xml:space="preserve">Granola ✓</t>
  </si>
  <si>
    <t xml:space="preserve">Bread / wraps</t>
  </si>
  <si>
    <t xml:space="preserve">loaves</t>
  </si>
  <si>
    <t xml:space="preserve">Use days 1–4, then switch to crackers</t>
  </si>
  <si>
    <t xml:space="preserve">Popcorn kernels</t>
  </si>
  <si>
    <t xml:space="preserve">Snacks — oil pop, infinite flavors</t>
  </si>
  <si>
    <t xml:space="preserve">Flour ✓</t>
  </si>
  <si>
    <t xml:space="preserve">FATS, DAIRY &amp; CONDIMENTS</t>
  </si>
  <si>
    <t xml:space="preserve">UHT milk (boxed)</t>
  </si>
  <si>
    <t xml:space="preserve">Dairy — shelf</t>
  </si>
  <si>
    <t xml:space="preserve">quarts</t>
  </si>
  <si>
    <t xml:space="preserve">One in fridge at a time</t>
  </si>
  <si>
    <t xml:space="preserve">Powdered milk</t>
  </si>
  <si>
    <t xml:space="preserve">Yogurt-making — exceptional results</t>
  </si>
  <si>
    <t xml:space="preserve">UHT tofu</t>
  </si>
  <si>
    <t xml:space="preserve">Protein — shelf</t>
  </si>
  <si>
    <t xml:space="preserve">packs</t>
  </si>
  <si>
    <t xml:space="preserve">Stir-fry, scrambles, no fridge</t>
  </si>
  <si>
    <t xml:space="preserve">Butter</t>
  </si>
  <si>
    <t xml:space="preserve">Fat — cold</t>
  </si>
  <si>
    <t xml:space="preserve">Refrigerate</t>
  </si>
  <si>
    <t xml:space="preserve">Olive oil</t>
  </si>
  <si>
    <t xml:space="preserve">Fat — shelf</t>
  </si>
  <si>
    <t xml:space="preserve">bottle</t>
  </si>
  <si>
    <t xml:space="preserve">No refrigeration</t>
  </si>
  <si>
    <t xml:space="preserve">Coconut oil</t>
  </si>
  <si>
    <t xml:space="preserve">No refrigeration, high smoke point</t>
  </si>
  <si>
    <t xml:space="preserve">Mayo (squeeze bottle)</t>
  </si>
  <si>
    <t xml:space="preserve">Condiment</t>
  </si>
  <si>
    <t xml:space="preserve">Safe unrefrigerated — squeeze bottle only</t>
  </si>
  <si>
    <t xml:space="preserve">Ketchup</t>
  </si>
  <si>
    <t xml:space="preserve">No refrigeration needed</t>
  </si>
  <si>
    <t xml:space="preserve">Mustard</t>
  </si>
  <si>
    <t xml:space="preserve">Soy sauce</t>
  </si>
  <si>
    <t xml:space="preserve">Hot sauce</t>
  </si>
  <si>
    <t xml:space="preserve">Bay leaves (large bag)</t>
  </si>
  <si>
    <t xml:space="preserve">Dry stores</t>
  </si>
  <si>
    <t xml:space="preserve">Throw in dry stores containers — jury still out</t>
  </si>
  <si>
    <t xml:space="preserve">SNACKS</t>
  </si>
  <si>
    <t xml:space="preserve">Trail mix</t>
  </si>
  <si>
    <t xml:space="preserve">Snacks</t>
  </si>
  <si>
    <t xml:space="preserve">Watch food, passage days</t>
  </si>
  <si>
    <t xml:space="preserve">Energy / granola bars</t>
  </si>
  <si>
    <t xml:space="preserve">20</t>
  </si>
  <si>
    <t xml:space="preserve">bars</t>
  </si>
  <si>
    <t xml:space="preserve">2/day = 20 total</t>
  </si>
  <si>
    <t xml:space="preserve">Olives (single-serve cups)</t>
  </si>
  <si>
    <t xml:space="preserve">cups</t>
  </si>
  <si>
    <t xml:space="preserve">No fridge, no mess, treat</t>
  </si>
  <si>
    <t xml:space="preserve">Dark chocolate</t>
  </si>
  <si>
    <t xml:space="preserve">Morale intervention. Non-negotiable.</t>
  </si>
  <si>
    <t xml:space="preserve">BEVERAGES</t>
  </si>
  <si>
    <t xml:space="preserve">Coffee (ground or instant)</t>
  </si>
  <si>
    <t xml:space="preserve">Beverages</t>
  </si>
  <si>
    <t xml:space="preserve">Crew sanity essential</t>
  </si>
  <si>
    <t xml:space="preserve">Tea assorted</t>
  </si>
  <si>
    <t xml:space="preserve">box</t>
  </si>
  <si>
    <t xml:space="preserve">Night watches</t>
  </si>
  <si>
    <t xml:space="preserve">Water (if no watermaker)</t>
  </si>
  <si>
    <t xml:space="preserve">gal</t>
  </si>
  <si>
    <t xml:space="preserve">White wine</t>
  </si>
  <si>
    <t xml:space="preserve">5</t>
  </si>
  <si>
    <t xml:space="preserve">bottles</t>
  </si>
  <si>
    <t xml:space="preserve">Cockpit dinner essential</t>
  </si>
  <si>
    <t xml:space="preserve">✓ = PRE-TREAT at home (freeze 3–4 days at 0°F or microwave 90 sec–5 min)  |  Italics = refrigerate  |  Bold = freeze flat</t>
  </si>
  <si>
    <t xml:space="preserve">★ Scaled Qty = base quantity proportionally adjusted for your people &amp; days. Change Assumptions B5 (people) &amp; B6 (days) to update automatically.</t>
  </si>
  <si>
    <t xml:space="preserve">Daily Target
(per person)</t>
  </si>
  <si>
    <t xml:space="preserve">Equiv. Ounces</t>
  </si>
  <si>
    <t xml:space="preserve">Shopping Guidance</t>
  </si>
  <si>
    <t xml:space="preserve">0.8 lb/person/day</t>
  </si>
  <si>
    <t xml:space="preserve">Incl. canned, fresh, frozen, eggs, cheese, legumes</t>
  </si>
  <si>
    <t xml:space="preserve">1.25 lb/person/day</t>
  </si>
  <si>
    <t xml:space="preserve">Fresh first 4 days → canned/dried remainder</t>
  </si>
  <si>
    <t xml:space="preserve">0.65 lb/person/day</t>
  </si>
  <si>
    <t xml:space="preserve">Fresh citrus + apples + dried fruit</t>
  </si>
  <si>
    <t xml:space="preserve">0.6 lb/person/day</t>
  </si>
  <si>
    <t xml:space="preserve">Pasta, rice, oats, crackers, bread</t>
  </si>
  <si>
    <t xml:space="preserve">Fats/dairy/condiments</t>
  </si>
  <si>
    <t xml:space="preserve">0.4 lb/person/day</t>
  </si>
  <si>
    <t xml:space="preserve">Butter, oil, cheese, UHT milk, mayo</t>
  </si>
  <si>
    <t xml:space="preserve">TOTAL FOOD WEIGHT (approx)</t>
  </si>
  <si>
    <t xml:space="preserve">Dry food weight only — does not include beverages. See note below.</t>
  </si>
  <si>
    <t xml:space="preserve">💧 LIQUID TOTALS (not included above):
Daily water target: set in Assumptions E27 (default 1.0 gal/person/day).
Daily beverages (coffee, tea, wine, other): set in Assumptions E29:E32.
Total daily liquids per crew = (E27 + SUM(E29:E32)÷128) × people.
Shopping guidance: Tank + jerry cans; add 20% buffer for emergencies. Watermaker = backup only. See Meal Plan "Liquids (gal)" column for daily totals.</t>
  </si>
  <si>
    <t xml:space="preserve">Sources: USDA Dietary Guidelines 2020–2025 | ACSM protein guidelines for active adults | USDA MyPlate</t>
  </si>
  <si>
    <t xml:space="preserve">This planner is a starting point. Adjust quantities after your first 2–3 passages based on what your crew actually eats.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</si>
</sst>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0"/>
    <numFmt numFmtId="168" formatCode="0.0"/>
  </numFmts>
  <fonts count="4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Calibri"/>
      <family val="0"/>
      <charset val="1"/>
    </font>
    <font>
      <sz val="11"/>
      <color rgb="FF1B2B3A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1B3A5C"/>
      <name val="Calibri"/>
      <family val="0"/>
      <charset val="1"/>
    </font>
    <font>
      <b val="true"/>
      <sz val="11"/>
      <color rgb="FF0563C1"/>
      <name val="Calibri"/>
      <family val="0"/>
      <charset val="1"/>
    </font>
    <font>
      <sz val="11"/>
      <color rgb="FF5A7080"/>
      <name val="Calibri"/>
      <family val="0"/>
      <charset val="1"/>
    </font>
    <font>
      <i val="true"/>
      <sz val="10"/>
      <color rgb="FF5A7080"/>
      <name val="Calibri"/>
      <family val="0"/>
      <charset val="1"/>
    </font>
    <font>
      <b val="true"/>
      <sz val="13"/>
      <color rgb="FF1B3A5C"/>
      <name val="Calibri"/>
      <family val="0"/>
      <charset val="1"/>
    </font>
    <font>
      <sz val="11"/>
      <color rgb="FF1B3A5C"/>
      <name val="Calibri"/>
      <family val="0"/>
      <charset val="1"/>
    </font>
    <font>
      <i val="true"/>
      <sz val="11"/>
      <color rgb="FF1A7A8A"/>
      <name val="Calibri"/>
      <family val="0"/>
      <charset val="1"/>
    </font>
    <font>
      <b val="true"/>
      <sz val="11"/>
      <color rgb="FF1B3A5C"/>
      <name val="Calibri"/>
      <family val="0"/>
      <charset val="1"/>
    </font>
    <font>
      <b val="true"/>
      <i val="true"/>
      <sz val="11"/>
      <color rgb="FF1A7A8A"/>
      <name val="Calibri"/>
      <family val="0"/>
      <charset val="1"/>
    </font>
    <font>
      <b val="true"/>
      <sz val="10"/>
      <color rgb="FF1A7A8A"/>
      <name val="Calibri"/>
      <family val="0"/>
      <charset val="1"/>
    </font>
    <font>
      <b val="true"/>
      <sz val="10"/>
      <color rgb="FFC8933A"/>
      <name val="Calibri"/>
      <family val="0"/>
      <charset val="1"/>
    </font>
    <font>
      <b val="true"/>
      <sz val="9"/>
      <name val="Arial"/>
      <family val="0"/>
      <charset val="1"/>
    </font>
    <font>
      <b val="true"/>
      <sz val="11"/>
      <color rgb="FF1B2B3A"/>
      <name val="Calibri"/>
      <family val="0"/>
      <charset val="1"/>
    </font>
    <font>
      <sz val="9"/>
      <color rgb="FF5A7080"/>
      <name val="Calibri"/>
      <family val="0"/>
      <charset val="1"/>
    </font>
    <font>
      <sz val="10"/>
      <color rgb="FF0000FF"/>
      <name val="Arial"/>
      <family val="0"/>
      <charset val="1"/>
    </font>
    <font>
      <sz val="11"/>
      <color rgb="FF1B2B3A"/>
      <name val="Cambria"/>
      <family val="0"/>
      <charset val="1"/>
    </font>
    <font>
      <sz val="11"/>
      <color rgb="FF1B3A5C"/>
      <name val="Cambria"/>
      <family val="0"/>
      <charset val="1"/>
    </font>
    <font>
      <sz val="11"/>
      <color rgb="FF5A7080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1"/>
      <color rgb="FF1B3A5C"/>
      <name val="Cambria"/>
      <family val="0"/>
      <charset val="1"/>
    </font>
    <font>
      <i val="true"/>
      <sz val="9"/>
      <color rgb="FF5A7080"/>
      <name val="Calibri"/>
      <family val="0"/>
      <charset val="1"/>
    </font>
    <font>
      <b val="true"/>
      <sz val="14"/>
      <color rgb="FFFFFFFF"/>
      <name val="Calibri"/>
      <family val="0"/>
      <charset val="1"/>
    </font>
    <font>
      <sz val="11"/>
      <color rgb="FFC8933A"/>
      <name val="Cambria"/>
      <family val="0"/>
      <charset val="1"/>
    </font>
    <font>
      <i val="true"/>
      <sz val="10"/>
      <color rgb="FFFFFFFF"/>
      <name val="Calibri"/>
      <family val="0"/>
      <charset val="1"/>
    </font>
    <font>
      <b val="true"/>
      <sz val="11"/>
      <color rgb="FFFFFFFF"/>
      <name val="Cambria"/>
      <family val="0"/>
      <charset val="1"/>
    </font>
    <font>
      <sz val="10"/>
      <color rgb="FF1B2B3A"/>
      <name val="Calibri"/>
      <family val="0"/>
      <charset val="1"/>
    </font>
    <font>
      <b val="true"/>
      <sz val="11"/>
      <color rgb="FF1A7A8A"/>
      <name val="Calibri"/>
      <family val="0"/>
      <charset val="1"/>
    </font>
    <font>
      <b val="true"/>
      <sz val="11"/>
      <color rgb="FFC8933A"/>
      <name val="Calibri"/>
      <family val="0"/>
      <charset val="1"/>
    </font>
    <font>
      <b val="true"/>
      <sz val="9"/>
      <color rgb="FFC8933A"/>
      <name val="Calibri"/>
      <family val="0"/>
      <charset val="1"/>
    </font>
    <font>
      <i val="true"/>
      <sz val="10"/>
      <color rgb="FFC8933A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FFFFFF"/>
      <name val="Calibri"/>
      <family val="0"/>
      <charset val="1"/>
    </font>
    <font>
      <sz val="10"/>
      <color rgb="FF5A7080"/>
      <name val="Calibri"/>
      <family val="0"/>
      <charset val="1"/>
    </font>
    <font>
      <sz val="10"/>
      <color rgb="FF1F6B2E"/>
      <name val="Arial"/>
      <family val="0"/>
      <charset val="1"/>
    </font>
    <font>
      <i val="true"/>
      <sz val="11"/>
      <color rgb="FF5A7080"/>
      <name val="Calibri"/>
      <family val="0"/>
      <charset val="1"/>
    </font>
    <font>
      <i val="true"/>
      <sz val="9"/>
      <color rgb="FF555555"/>
      <name val="Arial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1B3A5C"/>
        <bgColor rgb="FF1B2B3A"/>
      </patternFill>
    </fill>
    <fill>
      <patternFill patternType="solid">
        <fgColor rgb="FF1A7A8A"/>
        <bgColor rgb="FF008080"/>
      </patternFill>
    </fill>
    <fill>
      <patternFill patternType="solid">
        <fgColor rgb="FFE8EEF4"/>
        <bgColor rgb="FFE8F4F6"/>
      </patternFill>
    </fill>
    <fill>
      <patternFill patternType="solid">
        <fgColor rgb="FFFFFFFF"/>
        <bgColor rgb="FFFAFAFA"/>
      </patternFill>
    </fill>
    <fill>
      <patternFill patternType="solid">
        <fgColor rgb="FFFFFF00"/>
        <bgColor rgb="FFFFFF00"/>
      </patternFill>
    </fill>
    <fill>
      <patternFill patternType="solid">
        <fgColor rgb="FFFAFAFA"/>
        <bgColor rgb="FFFFFFFF"/>
      </patternFill>
    </fill>
    <fill>
      <patternFill patternType="solid">
        <fgColor rgb="FFC8933A"/>
        <bgColor rgb="FFFF8080"/>
      </patternFill>
    </fill>
    <fill>
      <patternFill patternType="solid">
        <fgColor rgb="FFFAF0DC"/>
        <bgColor rgb="FFFAFAFA"/>
      </patternFill>
    </fill>
    <fill>
      <patternFill patternType="solid">
        <fgColor rgb="FFE8F4F6"/>
        <bgColor rgb="FFEBF3FF"/>
      </patternFill>
    </fill>
    <fill>
      <patternFill patternType="solid">
        <fgColor rgb="FFD8EFF2"/>
        <bgColor rgb="FFD6E4F0"/>
      </patternFill>
    </fill>
    <fill>
      <patternFill patternType="solid">
        <fgColor rgb="FFEBF3FF"/>
        <bgColor rgb="FFE8F4F6"/>
      </patternFill>
    </fill>
    <fill>
      <patternFill patternType="solid">
        <fgColor rgb="FF5A7080"/>
        <bgColor rgb="FF808080"/>
      </patternFill>
    </fill>
    <fill>
      <patternFill patternType="solid">
        <fgColor rgb="FFD6E4F0"/>
        <bgColor rgb="FFD8EFF2"/>
      </patternFill>
    </fill>
    <fill>
      <patternFill patternType="solid">
        <fgColor rgb="FFE2F0D9"/>
        <bgColor rgb="FFE8EEF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DDDD"/>
      </left>
      <right style="thin">
        <color rgb="FFCCDDDD"/>
      </right>
      <top style="thin">
        <color rgb="FFCCDDDD"/>
      </top>
      <bottom style="thin">
        <color rgb="FFCC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1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11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9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1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25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6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3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7" fillId="1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1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40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0" fillId="1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8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1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F6B2E"/>
      <rgbColor rgb="FF000080"/>
      <rgbColor rgb="FF808000"/>
      <rgbColor rgb="FF800080"/>
      <rgbColor rgb="FF1A7A8A"/>
      <rgbColor rgb="FFD6E4F0"/>
      <rgbColor rgb="FF808080"/>
      <rgbColor rgb="FF9999FF"/>
      <rgbColor rgb="FF993366"/>
      <rgbColor rgb="FFFAF0DC"/>
      <rgbColor rgb="FFD8EFF2"/>
      <rgbColor rgb="FF660066"/>
      <rgbColor rgb="FFFF8080"/>
      <rgbColor rgb="FF0563C1"/>
      <rgbColor rgb="FFCC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4F6"/>
      <rgbColor rgb="FFE2F0D9"/>
      <rgbColor rgb="FFFAFAFA"/>
      <rgbColor rgb="FFEBF3FF"/>
      <rgbColor rgb="FFFF99CC"/>
      <rgbColor rgb="FFCC99FF"/>
      <rgbColor rgb="FFE8EEF4"/>
      <rgbColor rgb="FF3366FF"/>
      <rgbColor rgb="FF33CCCC"/>
      <rgbColor rgb="FF99CC00"/>
      <rgbColor rgb="FFFFCC00"/>
      <rgbColor rgb="FFC8933A"/>
      <rgbColor rgb="FFFF6600"/>
      <rgbColor rgb="FF5A7080"/>
      <rgbColor rgb="FF969696"/>
      <rgbColor rgb="FF1B3A5C"/>
      <rgbColor rgb="FF339966"/>
      <rgbColor rgb="FF003300"/>
      <rgbColor rgb="FF333300"/>
      <rgbColor rgb="FF993300"/>
      <rgbColor rgb="FF993366"/>
      <rgbColor rgb="FF555555"/>
      <rgbColor rgb="FF1B2B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2" min="2" style="1" width="16"/>
    <col collapsed="false" customWidth="true" hidden="false" outlineLevel="0" max="3" min="3" style="1" width="28"/>
    <col collapsed="false" customWidth="true" hidden="false" outlineLevel="0" max="4" min="4" style="1" width="34.14"/>
    <col collapsed="false" customWidth="true" hidden="false" outlineLevel="0" max="26" min="5" style="1" width="20"/>
  </cols>
  <sheetData>
    <row r="1" customFormat="false" ht="36" hidden="false" customHeight="true" outlineLevel="0" collapsed="false">
      <c r="A1" s="2" t="s">
        <v>0</v>
      </c>
      <c r="B1" s="3"/>
      <c r="C1" s="3"/>
      <c r="D1" s="3"/>
    </row>
    <row r="2" customFormat="false" ht="21.75" hidden="false" customHeight="true" outlineLevel="0" collapsed="false">
      <c r="A2" s="4" t="s">
        <v>1</v>
      </c>
      <c r="B2" s="5"/>
      <c r="C2" s="4" t="s">
        <v>2</v>
      </c>
      <c r="D2" s="5"/>
    </row>
    <row r="3" customFormat="false" ht="7.5" hidden="false" customHeight="true" outlineLevel="0" collapsed="false"/>
    <row r="4" customFormat="false" ht="15" hidden="false" customHeight="true" outlineLevel="0" collapsed="false">
      <c r="A4" s="6" t="s">
        <v>3</v>
      </c>
      <c r="B4" s="7"/>
      <c r="C4" s="7"/>
      <c r="D4" s="7"/>
    </row>
    <row r="5" customFormat="false" ht="19.5" hidden="false" customHeight="true" outlineLevel="0" collapsed="false">
      <c r="A5" s="8" t="s">
        <v>4</v>
      </c>
      <c r="B5" s="9" t="n">
        <v>2</v>
      </c>
      <c r="C5" s="10" t="s">
        <v>5</v>
      </c>
      <c r="D5" s="11" t="s">
        <v>6</v>
      </c>
    </row>
    <row r="6" customFormat="false" ht="19.5" hidden="false" customHeight="true" outlineLevel="0" collapsed="false">
      <c r="A6" s="12" t="s">
        <v>7</v>
      </c>
      <c r="B6" s="9" t="n">
        <v>10</v>
      </c>
      <c r="C6" s="13" t="s">
        <v>8</v>
      </c>
      <c r="D6" s="14" t="s">
        <v>9</v>
      </c>
    </row>
    <row r="7" customFormat="false" ht="30.75" hidden="false" customHeight="true" outlineLevel="0" collapsed="false">
      <c r="A7" s="15" t="s">
        <v>10</v>
      </c>
      <c r="B7" s="15"/>
      <c r="C7" s="15"/>
      <c r="D7" s="15"/>
      <c r="E7" s="15"/>
    </row>
    <row r="8" customFormat="false" ht="24" hidden="false" customHeight="true" outlineLevel="0" collapsed="false">
      <c r="A8" s="16" t="s">
        <v>11</v>
      </c>
      <c r="B8" s="16"/>
      <c r="C8" s="17" t="s">
        <v>12</v>
      </c>
      <c r="D8" s="18"/>
    </row>
    <row r="9" customFormat="false" ht="24" hidden="false" customHeight="true" outlineLevel="0" collapsed="false">
      <c r="A9" s="19" t="s">
        <v>13</v>
      </c>
      <c r="B9" s="19"/>
      <c r="C9" s="20" t="s">
        <v>14</v>
      </c>
      <c r="D9" s="21"/>
    </row>
    <row r="10" customFormat="false" ht="24" hidden="false" customHeight="true" outlineLevel="0" collapsed="false">
      <c r="A10" s="22" t="s">
        <v>15</v>
      </c>
      <c r="B10" s="23" t="s">
        <v>16</v>
      </c>
      <c r="C10" s="24" t="s">
        <v>17</v>
      </c>
      <c r="D10" s="25" t="s">
        <v>18</v>
      </c>
    </row>
    <row r="11" customFormat="false" ht="19.5" hidden="false" customHeight="true" outlineLevel="0" collapsed="false">
      <c r="A11" s="26" t="s">
        <v>19</v>
      </c>
      <c r="B11" s="9" t="n">
        <v>3</v>
      </c>
      <c r="C11" s="27" t="s">
        <v>17</v>
      </c>
      <c r="D11" s="28"/>
    </row>
    <row r="12" customFormat="false" ht="19.5" hidden="false" customHeight="true" outlineLevel="0" collapsed="false">
      <c r="A12" s="12" t="s">
        <v>20</v>
      </c>
      <c r="B12" s="9" t="n">
        <v>4</v>
      </c>
      <c r="C12" s="13" t="s">
        <v>21</v>
      </c>
      <c r="D12" s="14" t="str">
        <f aca="false">TEXT(B12,"0")&amp;IF(B12=1," time"," times")&amp;" over "&amp;TEXT(B6,"0")&amp;" days"</f>
        <v>4 times over 10 days</v>
      </c>
    </row>
    <row r="13" customFormat="false" ht="19.5" hidden="false" customHeight="true" outlineLevel="0" collapsed="false">
      <c r="A13" s="8" t="s">
        <v>22</v>
      </c>
      <c r="B13" s="9" t="s">
        <v>23</v>
      </c>
      <c r="C13" s="10"/>
      <c r="D13" s="11" t="str">
        <f aca="false">IF(B13="YES","Assumed for all "&amp;TEXT(B6,"0")&amp;" days","Not provisioned")</f>
        <v>Assumed for all 10 days</v>
      </c>
    </row>
    <row r="14" customFormat="false" ht="30.75" hidden="false" customHeight="true" outlineLevel="0" collapsed="false">
      <c r="A14" s="15" t="s">
        <v>24</v>
      </c>
      <c r="B14" s="15"/>
      <c r="C14" s="15"/>
      <c r="D14" s="15"/>
      <c r="E14" s="15"/>
    </row>
    <row r="15" customFormat="false" ht="19.5" hidden="false" customHeight="true" outlineLevel="0" collapsed="false">
      <c r="A15" s="29" t="s">
        <v>25</v>
      </c>
      <c r="B15" s="30"/>
      <c r="C15" s="30"/>
      <c r="D15" s="30"/>
    </row>
    <row r="16" customFormat="false" ht="29.25" hidden="false" customHeight="true" outlineLevel="0" collapsed="false">
      <c r="A16" s="31" t="s">
        <v>26</v>
      </c>
      <c r="B16" s="9" t="n">
        <f aca="false">IF(B13="YES",B5*B6,0)</f>
        <v>20</v>
      </c>
      <c r="C16" s="32" t="s">
        <v>27</v>
      </c>
    </row>
    <row r="17" customFormat="false" ht="15" hidden="false" customHeight="true" outlineLevel="0" collapsed="false">
      <c r="A17" s="8" t="s">
        <v>28</v>
      </c>
      <c r="B17" s="9" t="n">
        <f aca="false">B5*(B6-B12)</f>
        <v>12</v>
      </c>
      <c r="C17" s="11" t="s">
        <v>29</v>
      </c>
    </row>
    <row r="18" customFormat="false" ht="27.75" hidden="false" customHeight="true" outlineLevel="0" collapsed="false">
      <c r="A18" s="31" t="s">
        <v>30</v>
      </c>
      <c r="B18" s="9" t="n">
        <f aca="false">B5*(B6-B11)</f>
        <v>14</v>
      </c>
      <c r="C18" s="32" t="s">
        <v>31</v>
      </c>
    </row>
    <row r="19" customFormat="false" ht="27.75" hidden="false" customHeight="true" outlineLevel="0" collapsed="false">
      <c r="A19" s="8" t="s">
        <v>32</v>
      </c>
      <c r="B19" s="9" t="n">
        <f aca="false">B16+B17+B18</f>
        <v>46</v>
      </c>
      <c r="C19" s="11" t="s">
        <v>33</v>
      </c>
    </row>
    <row r="20" customFormat="false" ht="27.75" hidden="false" customHeight="true" outlineLevel="0" collapsed="false"/>
    <row r="21" customFormat="false" ht="27.75" hidden="false" customHeight="true" outlineLevel="0" collapsed="false">
      <c r="A21" s="33" t="s">
        <v>34</v>
      </c>
      <c r="B21" s="34"/>
      <c r="C21" s="34"/>
      <c r="D21" s="34"/>
      <c r="E21" s="35" t="s">
        <v>35</v>
      </c>
    </row>
    <row r="22" customFormat="false" ht="36" hidden="false" customHeight="true" outlineLevel="0" collapsed="false">
      <c r="A22" s="36" t="s">
        <v>36</v>
      </c>
      <c r="B22" s="37" t="s">
        <v>37</v>
      </c>
      <c r="C22" s="14" t="s">
        <v>38</v>
      </c>
      <c r="D22" s="38" t="s">
        <v>39</v>
      </c>
      <c r="E22" s="39" t="n">
        <v>0.8</v>
      </c>
    </row>
    <row r="23" customFormat="false" ht="31.5" hidden="false" customHeight="true" outlineLevel="0" collapsed="false">
      <c r="A23" s="40" t="s">
        <v>40</v>
      </c>
      <c r="B23" s="41" t="s">
        <v>41</v>
      </c>
      <c r="C23" s="11" t="s">
        <v>42</v>
      </c>
      <c r="D23" s="42" t="s">
        <v>43</v>
      </c>
      <c r="E23" s="39" t="n">
        <v>1.25</v>
      </c>
    </row>
    <row r="24" customFormat="false" ht="31.5" hidden="false" customHeight="true" outlineLevel="0" collapsed="false">
      <c r="A24" s="36" t="s">
        <v>44</v>
      </c>
      <c r="B24" s="37" t="s">
        <v>45</v>
      </c>
      <c r="C24" s="14" t="s">
        <v>46</v>
      </c>
      <c r="D24" s="38" t="s">
        <v>47</v>
      </c>
      <c r="E24" s="39" t="n">
        <v>0.65</v>
      </c>
    </row>
    <row r="25" customFormat="false" ht="35.25" hidden="false" customHeight="true" outlineLevel="0" collapsed="false">
      <c r="A25" s="40" t="s">
        <v>48</v>
      </c>
      <c r="B25" s="41" t="s">
        <v>49</v>
      </c>
      <c r="C25" s="11" t="s">
        <v>50</v>
      </c>
      <c r="D25" s="42" t="s">
        <v>51</v>
      </c>
      <c r="E25" s="39" t="n">
        <v>0.6</v>
      </c>
    </row>
    <row r="26" customFormat="false" ht="21.75" hidden="false" customHeight="true" outlineLevel="0" collapsed="false">
      <c r="A26" s="36" t="s">
        <v>52</v>
      </c>
      <c r="B26" s="37" t="s">
        <v>53</v>
      </c>
      <c r="C26" s="14" t="s">
        <v>54</v>
      </c>
      <c r="D26" s="38" t="s">
        <v>55</v>
      </c>
      <c r="E26" s="39" t="n">
        <v>0.4</v>
      </c>
    </row>
    <row r="27" customFormat="false" ht="42.75" hidden="false" customHeight="true" outlineLevel="0" collapsed="false">
      <c r="A27" s="43" t="s">
        <v>56</v>
      </c>
      <c r="B27" s="44" t="s">
        <v>57</v>
      </c>
      <c r="C27" s="45" t="s">
        <v>58</v>
      </c>
      <c r="D27" s="45" t="s">
        <v>59</v>
      </c>
      <c r="E27" s="46" t="n">
        <v>1</v>
      </c>
    </row>
    <row r="28" customFormat="false" ht="15.75" hidden="false" customHeight="true" outlineLevel="0" collapsed="false">
      <c r="A28" s="47" t="s">
        <v>60</v>
      </c>
      <c r="B28" s="47"/>
      <c r="C28" s="47"/>
      <c r="D28" s="47"/>
      <c r="E28" s="47"/>
    </row>
    <row r="29" customFormat="false" ht="36.75" hidden="false" customHeight="true" outlineLevel="0" collapsed="false">
      <c r="A29" s="48" t="s">
        <v>61</v>
      </c>
      <c r="B29" s="49" t="s">
        <v>62</v>
      </c>
      <c r="C29" s="50" t="s">
        <v>63</v>
      </c>
      <c r="D29" s="50" t="s">
        <v>64</v>
      </c>
      <c r="E29" s="51" t="n">
        <v>16</v>
      </c>
    </row>
    <row r="30" customFormat="false" ht="15.75" hidden="false" customHeight="true" outlineLevel="0" collapsed="false">
      <c r="A30" s="52" t="s">
        <v>65</v>
      </c>
      <c r="B30" s="53" t="s">
        <v>66</v>
      </c>
      <c r="C30" s="54" t="s">
        <v>67</v>
      </c>
      <c r="D30" s="54" t="s">
        <v>68</v>
      </c>
      <c r="E30" s="51" t="n">
        <v>8</v>
      </c>
    </row>
    <row r="31" customFormat="false" ht="15.75" hidden="false" customHeight="true" outlineLevel="0" collapsed="false">
      <c r="A31" s="48" t="s">
        <v>69</v>
      </c>
      <c r="B31" s="49" t="s">
        <v>70</v>
      </c>
      <c r="C31" s="50" t="s">
        <v>71</v>
      </c>
      <c r="D31" s="50" t="s">
        <v>72</v>
      </c>
      <c r="E31" s="51" t="n">
        <v>5</v>
      </c>
    </row>
    <row r="32" customFormat="false" ht="15.75" hidden="false" customHeight="true" outlineLevel="0" collapsed="false">
      <c r="A32" s="52" t="s">
        <v>73</v>
      </c>
      <c r="B32" s="53" t="s">
        <v>66</v>
      </c>
      <c r="C32" s="54" t="s">
        <v>74</v>
      </c>
      <c r="D32" s="54" t="s">
        <v>75</v>
      </c>
      <c r="E32" s="51" t="n">
        <v>8</v>
      </c>
    </row>
    <row r="33" customFormat="false" ht="15.75" hidden="false" customHeight="true" outlineLevel="0" collapsed="false"/>
    <row r="34" customFormat="false" ht="15.75" hidden="false" customHeight="true" outlineLevel="0" collapsed="false">
      <c r="A34" s="55" t="s">
        <v>76</v>
      </c>
      <c r="B34" s="55"/>
      <c r="C34" s="55"/>
      <c r="D34" s="55"/>
      <c r="E34" s="55"/>
    </row>
    <row r="35" customFormat="false" ht="15.75" hidden="false" customHeight="true" outlineLevel="0" collapsed="false"/>
    <row r="36" customFormat="false" ht="15.75" hidden="false" customHeight="true" outlineLevel="0" collapsed="false">
      <c r="A36" s="56" t="s">
        <v>77</v>
      </c>
      <c r="B36" s="56"/>
      <c r="C36" s="56"/>
      <c r="D36" s="56"/>
      <c r="E36" s="56"/>
    </row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5">
    <mergeCell ref="A7:E7"/>
    <mergeCell ref="A14:E14"/>
    <mergeCell ref="A28:E28"/>
    <mergeCell ref="A34:E34"/>
    <mergeCell ref="A36:E3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21.71"/>
    <col collapsed="false" customWidth="true" hidden="false" outlineLevel="0" max="3" min="3" style="1" width="25.43"/>
    <col collapsed="false" customWidth="true" hidden="false" outlineLevel="0" max="4" min="4" style="1" width="27.57"/>
    <col collapsed="false" customWidth="true" hidden="false" outlineLevel="0" max="5" min="5" style="1" width="26.86"/>
    <col collapsed="false" customWidth="true" hidden="false" outlineLevel="0" max="6" min="6" style="1" width="14"/>
    <col collapsed="false" customWidth="true" hidden="false" outlineLevel="0" max="8" min="7" style="1" width="16"/>
    <col collapsed="false" customWidth="true" hidden="false" outlineLevel="0" max="9" min="9" style="1" width="14"/>
    <col collapsed="false" customWidth="true" hidden="false" outlineLevel="0" max="10" min="10" style="1" width="16"/>
    <col collapsed="false" customWidth="true" hidden="false" outlineLevel="0" max="11" min="11" style="1" width="36"/>
    <col collapsed="false" customWidth="true" hidden="false" outlineLevel="0" max="26" min="12" style="1" width="10"/>
  </cols>
  <sheetData>
    <row r="1" customFormat="false" ht="36" hidden="false" customHeight="true" outlineLevel="0" collapsed="false">
      <c r="A1" s="57" t="str">
        <f aca="false">Assumptions!B6&amp;"-Day Meal Plan  for "&amp;TEXT(Assumptions!B5,"0")&amp;" people"</f>
        <v>10-Day Meal Plan  for 2 people</v>
      </c>
      <c r="B1" s="3"/>
      <c r="C1" s="3"/>
      <c r="D1" s="3"/>
      <c r="E1" s="3"/>
      <c r="F1" s="3"/>
      <c r="G1" s="58" t="str">
        <f aca="false">"Quantities = per-person/day × "&amp;TEXT(Assumptions!B5,"0")&amp;" people  |  Liquids col = all beverages combined"</f>
        <v>Quantities = per-person/day × 2 people  |  Liquids col = all beverages combined</v>
      </c>
      <c r="H1" s="58"/>
      <c r="I1" s="58"/>
      <c r="J1" s="58"/>
      <c r="K1" s="58"/>
    </row>
    <row r="2" customFormat="false" ht="21.75" hidden="false" customHeight="true" outlineLevel="0" collapsed="false">
      <c r="A2" s="59" t="s">
        <v>78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customFormat="false" ht="27.75" hidden="false" customHeight="true" outlineLevel="0" collapsed="false">
      <c r="A3" s="60" t="s">
        <v>79</v>
      </c>
      <c r="B3" s="60" t="s">
        <v>80</v>
      </c>
      <c r="C3" s="61" t="s">
        <v>81</v>
      </c>
      <c r="D3" s="61" t="s">
        <v>82</v>
      </c>
      <c r="E3" s="61" t="s">
        <v>83</v>
      </c>
      <c r="F3" s="62" t="s">
        <v>84</v>
      </c>
      <c r="G3" s="60" t="s">
        <v>85</v>
      </c>
      <c r="H3" s="60" t="s">
        <v>86</v>
      </c>
      <c r="I3" s="60" t="s">
        <v>87</v>
      </c>
      <c r="J3" s="60" t="s">
        <v>88</v>
      </c>
      <c r="K3" s="63" t="s">
        <v>89</v>
      </c>
      <c r="L3" s="64" t="s">
        <v>90</v>
      </c>
    </row>
    <row r="4" customFormat="false" ht="24" hidden="false" customHeight="true" outlineLevel="0" collapsed="false">
      <c r="A4" s="65" t="n">
        <v>1</v>
      </c>
      <c r="B4" s="8" t="s">
        <v>91</v>
      </c>
      <c r="C4" s="66" t="s">
        <v>92</v>
      </c>
      <c r="D4" s="66" t="s">
        <v>93</v>
      </c>
      <c r="E4" s="66" t="s">
        <v>94</v>
      </c>
      <c r="F4" s="67" t="n">
        <f aca="false">IF(Assumptions!$B$13="YES",1,0)+IF(ISNUMBER(SEARCH("Eat out",D4)),0,1)+IF(ISNUMBER(SEARCH("Eat out",E4)),0,1)</f>
        <v>3</v>
      </c>
      <c r="G4" s="68" t="n">
        <f aca="false">ROUND((F4/3)*Assumptions!$E22*Assumptions!$B$5,2)</f>
        <v>1.6</v>
      </c>
      <c r="H4" s="68" t="n">
        <f aca="false">ROUND((F4/3)*Assumptions!$E23*Assumptions!$B$5,2)</f>
        <v>2.5</v>
      </c>
      <c r="I4" s="68" t="n">
        <f aca="false">ROUND((F4/3)*Assumptions!$E24*Assumptions!$B$5,2)</f>
        <v>1.3</v>
      </c>
      <c r="J4" s="68" t="n">
        <f aca="false">ROUND((F4/3)*Assumptions!$E25*Assumptions!$B$5,2)</f>
        <v>1.2</v>
      </c>
      <c r="K4" s="69" t="s">
        <v>95</v>
      </c>
      <c r="L4" s="70" t="n">
        <f aca="false">ROUND((Assumptions!$E$27+(Assumptions!$E$29+Assumptions!$E$30+Assumptions!$E$31+Assumptions!$E$32)/128)*Assumptions!$B$5,2)</f>
        <v>2.58</v>
      </c>
    </row>
    <row r="5" customFormat="false" ht="24" hidden="false" customHeight="true" outlineLevel="0" collapsed="false">
      <c r="A5" s="65" t="n">
        <v>2</v>
      </c>
      <c r="B5" s="31" t="s">
        <v>96</v>
      </c>
      <c r="C5" s="71" t="s">
        <v>97</v>
      </c>
      <c r="D5" s="25" t="s">
        <v>98</v>
      </c>
      <c r="E5" s="71" t="s">
        <v>99</v>
      </c>
      <c r="F5" s="67" t="n">
        <f aca="false">IF(Assumptions!$B$13="YES",1,0)+IF(ISNUMBER(SEARCH("Eat out",D5)),0,1)+IF(ISNUMBER(SEARCH("Eat out",E5)),0,1)</f>
        <v>2</v>
      </c>
      <c r="G5" s="68" t="n">
        <f aca="false">ROUND((F5/3)*Assumptions!$E22*Assumptions!$B$5,2)</f>
        <v>1.07</v>
      </c>
      <c r="H5" s="68" t="n">
        <f aca="false">ROUND((F5/3)*Assumptions!$E23*Assumptions!$B$5,2)</f>
        <v>1.67</v>
      </c>
      <c r="I5" s="68" t="n">
        <f aca="false">ROUND((F5/3)*Assumptions!$E24*Assumptions!$B$5,2)</f>
        <v>0.87</v>
      </c>
      <c r="J5" s="68" t="n">
        <f aca="false">ROUND((F5/3)*Assumptions!$E25*Assumptions!$B$5,2)</f>
        <v>0.8</v>
      </c>
      <c r="K5" s="72" t="s">
        <v>100</v>
      </c>
      <c r="L5" s="73" t="n">
        <f aca="false">ROUND((Assumptions!$E$27+(Assumptions!$E$29+Assumptions!$E$30+Assumptions!$E$31+Assumptions!$E$32)/128)*Assumptions!$B$5,2)</f>
        <v>2.58</v>
      </c>
    </row>
    <row r="6" customFormat="false" ht="24" hidden="false" customHeight="true" outlineLevel="0" collapsed="false">
      <c r="A6" s="65" t="n">
        <v>3</v>
      </c>
      <c r="B6" s="8" t="s">
        <v>101</v>
      </c>
      <c r="C6" s="66" t="s">
        <v>102</v>
      </c>
      <c r="D6" s="66" t="s">
        <v>103</v>
      </c>
      <c r="E6" s="25" t="s">
        <v>104</v>
      </c>
      <c r="F6" s="67" t="n">
        <f aca="false">IF(Assumptions!$B$13="YES",1,0)+IF(ISNUMBER(SEARCH("Eat out",D6)),0,1)+IF(ISNUMBER(SEARCH("Eat out",E6)),0,1)</f>
        <v>2</v>
      </c>
      <c r="G6" s="68" t="n">
        <f aca="false">ROUND((F6/3)*Assumptions!$E22*Assumptions!$B$5,2)</f>
        <v>1.07</v>
      </c>
      <c r="H6" s="68" t="n">
        <f aca="false">ROUND((F6/3)*Assumptions!$E23*Assumptions!$B$5,2)</f>
        <v>1.67</v>
      </c>
      <c r="I6" s="68" t="n">
        <f aca="false">ROUND((F6/3)*Assumptions!$E24*Assumptions!$B$5,2)</f>
        <v>0.87</v>
      </c>
      <c r="J6" s="68" t="n">
        <f aca="false">ROUND((F6/3)*Assumptions!$E25*Assumptions!$B$5,2)</f>
        <v>0.8</v>
      </c>
      <c r="K6" s="69" t="s">
        <v>105</v>
      </c>
      <c r="L6" s="70" t="n">
        <f aca="false">ROUND((Assumptions!$E$27+(Assumptions!$E$29+Assumptions!$E$30+Assumptions!$E$31+Assumptions!$E$32)/128)*Assumptions!$B$5,2)</f>
        <v>2.58</v>
      </c>
    </row>
    <row r="7" customFormat="false" ht="24" hidden="false" customHeight="true" outlineLevel="0" collapsed="false">
      <c r="A7" s="65" t="n">
        <v>4</v>
      </c>
      <c r="B7" s="31" t="s">
        <v>106</v>
      </c>
      <c r="C7" s="71" t="s">
        <v>107</v>
      </c>
      <c r="D7" s="25" t="s">
        <v>108</v>
      </c>
      <c r="E7" s="71" t="s">
        <v>109</v>
      </c>
      <c r="F7" s="67" t="n">
        <f aca="false">IF(Assumptions!$B$13="YES",1,0)+IF(ISNUMBER(SEARCH("Eat out",D7)),0,1)+IF(ISNUMBER(SEARCH("Eat out",E7)),0,1)</f>
        <v>2</v>
      </c>
      <c r="G7" s="68" t="n">
        <f aca="false">ROUND((F7/3)*Assumptions!$E22*Assumptions!$B$5,2)</f>
        <v>1.07</v>
      </c>
      <c r="H7" s="68" t="n">
        <f aca="false">ROUND((F7/3)*Assumptions!$E23*Assumptions!$B$5,2)</f>
        <v>1.67</v>
      </c>
      <c r="I7" s="68" t="n">
        <f aca="false">ROUND((F7/3)*Assumptions!$E24*Assumptions!$B$5,2)</f>
        <v>0.87</v>
      </c>
      <c r="J7" s="68" t="n">
        <f aca="false">ROUND((F7/3)*Assumptions!$E25*Assumptions!$B$5,2)</f>
        <v>0.8</v>
      </c>
      <c r="K7" s="72" t="s">
        <v>100</v>
      </c>
      <c r="L7" s="73" t="n">
        <f aca="false">ROUND((Assumptions!$E$27+(Assumptions!$E$29+Assumptions!$E$30+Assumptions!$E$31+Assumptions!$E$32)/128)*Assumptions!$B$5,2)</f>
        <v>2.58</v>
      </c>
    </row>
    <row r="8" customFormat="false" ht="24" hidden="false" customHeight="true" outlineLevel="0" collapsed="false">
      <c r="A8" s="65" t="n">
        <v>5</v>
      </c>
      <c r="B8" s="8" t="s">
        <v>110</v>
      </c>
      <c r="C8" s="66" t="s">
        <v>111</v>
      </c>
      <c r="D8" s="66" t="s">
        <v>112</v>
      </c>
      <c r="E8" s="66" t="s">
        <v>113</v>
      </c>
      <c r="F8" s="67" t="n">
        <f aca="false">IF(Assumptions!$B$13="YES",1,0)+IF(ISNUMBER(SEARCH("Eat out",D8)),0,1)+IF(ISNUMBER(SEARCH("Eat out",E8)),0,1)</f>
        <v>3</v>
      </c>
      <c r="G8" s="68" t="n">
        <f aca="false">ROUND((F8/3)*Assumptions!$E22*Assumptions!$B$5,2)</f>
        <v>1.6</v>
      </c>
      <c r="H8" s="68" t="n">
        <f aca="false">ROUND((F8/3)*Assumptions!$E23*Assumptions!$B$5,2)</f>
        <v>2.5</v>
      </c>
      <c r="I8" s="68" t="n">
        <f aca="false">ROUND((F8/3)*Assumptions!$E24*Assumptions!$B$5,2)</f>
        <v>1.3</v>
      </c>
      <c r="J8" s="68" t="n">
        <f aca="false">ROUND((F8/3)*Assumptions!$E25*Assumptions!$B$5,2)</f>
        <v>1.2</v>
      </c>
      <c r="K8" s="69" t="s">
        <v>114</v>
      </c>
      <c r="L8" s="70" t="n">
        <f aca="false">ROUND((Assumptions!$E$27+(Assumptions!$E$29+Assumptions!$E$30+Assumptions!$E$31+Assumptions!$E$32)/128)*Assumptions!$B$5,2)</f>
        <v>2.58</v>
      </c>
    </row>
    <row r="9" customFormat="false" ht="24" hidden="false" customHeight="true" outlineLevel="0" collapsed="false">
      <c r="A9" s="65" t="n">
        <v>6</v>
      </c>
      <c r="B9" s="31" t="s">
        <v>115</v>
      </c>
      <c r="C9" s="71" t="s">
        <v>116</v>
      </c>
      <c r="D9" s="25" t="s">
        <v>117</v>
      </c>
      <c r="E9" s="25" t="s">
        <v>118</v>
      </c>
      <c r="F9" s="67" t="n">
        <f aca="false">IF(Assumptions!$B$13="YES",1,0)+IF(ISNUMBER(SEARCH("Eat out",D9)),0,1)+IF(ISNUMBER(SEARCH("Eat out",E9)),0,1)</f>
        <v>1</v>
      </c>
      <c r="G9" s="68" t="n">
        <f aca="false">ROUND((F9/3)*Assumptions!$E22*Assumptions!$B$5,2)</f>
        <v>0.53</v>
      </c>
      <c r="H9" s="68" t="n">
        <f aca="false">ROUND((F9/3)*Assumptions!$E23*Assumptions!$B$5,2)</f>
        <v>0.83</v>
      </c>
      <c r="I9" s="68" t="n">
        <f aca="false">ROUND((F9/3)*Assumptions!$E24*Assumptions!$B$5,2)</f>
        <v>0.43</v>
      </c>
      <c r="J9" s="68" t="n">
        <f aca="false">ROUND((F9/3)*Assumptions!$E25*Assumptions!$B$5,2)</f>
        <v>0.4</v>
      </c>
      <c r="K9" s="72" t="s">
        <v>119</v>
      </c>
      <c r="L9" s="73" t="n">
        <f aca="false">ROUND((Assumptions!$E$27+(Assumptions!$E$29+Assumptions!$E$30+Assumptions!$E$31+Assumptions!$E$32)/128)*Assumptions!$B$5,2)</f>
        <v>2.58</v>
      </c>
    </row>
    <row r="10" customFormat="false" ht="24" hidden="false" customHeight="true" outlineLevel="0" collapsed="false">
      <c r="A10" s="65" t="n">
        <v>7</v>
      </c>
      <c r="B10" s="8" t="s">
        <v>120</v>
      </c>
      <c r="C10" s="66" t="s">
        <v>121</v>
      </c>
      <c r="D10" s="66" t="s">
        <v>122</v>
      </c>
      <c r="E10" s="66" t="s">
        <v>123</v>
      </c>
      <c r="F10" s="67" t="n">
        <f aca="false">IF(Assumptions!$B$13="YES",1,0)+IF(ISNUMBER(SEARCH("Eat out",D10)),0,1)+IF(ISNUMBER(SEARCH("Eat out",E10)),0,1)</f>
        <v>3</v>
      </c>
      <c r="G10" s="68" t="n">
        <f aca="false">ROUND((F10/3)*Assumptions!$E22*Assumptions!$B$5,2)</f>
        <v>1.6</v>
      </c>
      <c r="H10" s="68" t="n">
        <f aca="false">ROUND((F10/3)*Assumptions!$E23*Assumptions!$B$5,2)</f>
        <v>2.5</v>
      </c>
      <c r="I10" s="68" t="n">
        <f aca="false">ROUND((F10/3)*Assumptions!$E24*Assumptions!$B$5,2)</f>
        <v>1.3</v>
      </c>
      <c r="J10" s="68" t="n">
        <f aca="false">ROUND((F10/3)*Assumptions!$E25*Assumptions!$B$5,2)</f>
        <v>1.2</v>
      </c>
      <c r="K10" s="69"/>
      <c r="L10" s="70" t="n">
        <f aca="false">ROUND((Assumptions!$E$27+(Assumptions!$E$29+Assumptions!$E$30+Assumptions!$E$31+Assumptions!$E$32)/128)*Assumptions!$B$5,2)</f>
        <v>2.58</v>
      </c>
    </row>
    <row r="11" customFormat="false" ht="24" hidden="false" customHeight="true" outlineLevel="0" collapsed="false">
      <c r="A11" s="65" t="n">
        <v>8</v>
      </c>
      <c r="B11" s="31" t="s">
        <v>124</v>
      </c>
      <c r="C11" s="71" t="s">
        <v>125</v>
      </c>
      <c r="D11" s="25" t="s">
        <v>126</v>
      </c>
      <c r="E11" s="71" t="s">
        <v>127</v>
      </c>
      <c r="F11" s="67" t="n">
        <f aca="false">IF(Assumptions!$B$13="YES",1,0)+IF(ISNUMBER(SEARCH("Eat out",D11)),0,1)+IF(ISNUMBER(SEARCH("Eat out",E11)),0,1)</f>
        <v>2</v>
      </c>
      <c r="G11" s="68" t="n">
        <f aca="false">ROUND((F11/3)*Assumptions!$E22*Assumptions!$B$5,2)</f>
        <v>1.07</v>
      </c>
      <c r="H11" s="68" t="n">
        <f aca="false">ROUND((F11/3)*Assumptions!$E23*Assumptions!$B$5,2)</f>
        <v>1.67</v>
      </c>
      <c r="I11" s="68" t="n">
        <f aca="false">ROUND((F11/3)*Assumptions!$E24*Assumptions!$B$5,2)</f>
        <v>0.87</v>
      </c>
      <c r="J11" s="68" t="n">
        <f aca="false">ROUND((F11/3)*Assumptions!$E25*Assumptions!$B$5,2)</f>
        <v>0.8</v>
      </c>
      <c r="K11" s="72" t="s">
        <v>100</v>
      </c>
      <c r="L11" s="73" t="n">
        <f aca="false">ROUND((Assumptions!$E$27+(Assumptions!$E$29+Assumptions!$E$30+Assumptions!$E$31+Assumptions!$E$32)/128)*Assumptions!$B$5,2)</f>
        <v>2.58</v>
      </c>
    </row>
    <row r="12" customFormat="false" ht="24" hidden="false" customHeight="true" outlineLevel="0" collapsed="false">
      <c r="A12" s="65" t="n">
        <v>9</v>
      </c>
      <c r="B12" s="8" t="s">
        <v>128</v>
      </c>
      <c r="C12" s="66" t="s">
        <v>129</v>
      </c>
      <c r="D12" s="66" t="s">
        <v>130</v>
      </c>
      <c r="E12" s="25" t="s">
        <v>131</v>
      </c>
      <c r="F12" s="67" t="n">
        <f aca="false">IF(Assumptions!$B$13="YES",1,0)+IF(ISNUMBER(SEARCH("Eat out",D12)),0,1)+IF(ISNUMBER(SEARCH("Eat out",E12)),0,1)</f>
        <v>2</v>
      </c>
      <c r="G12" s="68" t="n">
        <f aca="false">ROUND((F12/3)*Assumptions!$E22*Assumptions!$B$5,2)</f>
        <v>1.07</v>
      </c>
      <c r="H12" s="68" t="n">
        <f aca="false">ROUND((F12/3)*Assumptions!$E23*Assumptions!$B$5,2)</f>
        <v>1.67</v>
      </c>
      <c r="I12" s="68" t="n">
        <f aca="false">ROUND((F12/3)*Assumptions!$E24*Assumptions!$B$5,2)</f>
        <v>0.87</v>
      </c>
      <c r="J12" s="68" t="n">
        <f aca="false">ROUND((F12/3)*Assumptions!$E25*Assumptions!$B$5,2)</f>
        <v>0.8</v>
      </c>
      <c r="K12" s="69" t="s">
        <v>105</v>
      </c>
      <c r="L12" s="70" t="n">
        <f aca="false">ROUND((Assumptions!$E$27+(Assumptions!$E$29+Assumptions!$E$30+Assumptions!$E$31+Assumptions!$E$32)/128)*Assumptions!$B$5,2)</f>
        <v>2.58</v>
      </c>
    </row>
    <row r="13" customFormat="false" ht="24" hidden="false" customHeight="true" outlineLevel="0" collapsed="false">
      <c r="A13" s="65" t="n">
        <v>10</v>
      </c>
      <c r="B13" s="31" t="s">
        <v>132</v>
      </c>
      <c r="C13" s="71" t="s">
        <v>133</v>
      </c>
      <c r="D13" s="71" t="s">
        <v>134</v>
      </c>
      <c r="E13" s="71" t="s">
        <v>135</v>
      </c>
      <c r="F13" s="67" t="n">
        <f aca="false">IF(Assumptions!$B$13="YES",1,0)+IF(ISNUMBER(SEARCH("Eat out",D13)),0,1)+IF(ISNUMBER(SEARCH("Eat out",E13)),0,1)</f>
        <v>3</v>
      </c>
      <c r="G13" s="68" t="n">
        <f aca="false">ROUND((F13/3)*Assumptions!$E22*Assumptions!$B$5,2)</f>
        <v>1.6</v>
      </c>
      <c r="H13" s="68" t="n">
        <f aca="false">ROUND((F13/3)*Assumptions!$E23*Assumptions!$B$5,2)</f>
        <v>2.5</v>
      </c>
      <c r="I13" s="68" t="n">
        <f aca="false">ROUND((F13/3)*Assumptions!$E24*Assumptions!$B$5,2)</f>
        <v>1.3</v>
      </c>
      <c r="J13" s="68" t="n">
        <f aca="false">ROUND((F13/3)*Assumptions!$E25*Assumptions!$B$5,2)</f>
        <v>1.2</v>
      </c>
      <c r="K13" s="72" t="s">
        <v>136</v>
      </c>
      <c r="L13" s="73" t="n">
        <f aca="false">ROUND((Assumptions!$E$27+(Assumptions!$E$29+Assumptions!$E$30+Assumptions!$E$31+Assumptions!$E$32)/128)*Assumptions!$B$5,2)</f>
        <v>2.58</v>
      </c>
    </row>
    <row r="14" customFormat="false" ht="27.75" hidden="false" customHeight="true" outlineLevel="0" collapsed="false">
      <c r="A14" s="65" t="s">
        <v>137</v>
      </c>
      <c r="B14" s="74" t="str">
        <f aca="false">TEXT(Assumptions!B6,"0")&amp;" days  |  "&amp;TEXT(Assumptions!B5,"0")&amp;" people"</f>
        <v>10 days  |  2 people</v>
      </c>
      <c r="C14" s="65" t="str">
        <f aca="false">TEXT(Assumptions!B16,"0")&amp;" breakfasts"</f>
        <v>20 breakfasts</v>
      </c>
      <c r="D14" s="75" t="str">
        <f aca="false">TEXT(Assumptions!B17,"0")&amp;" lunches aboard"</f>
        <v>12 lunches aboard</v>
      </c>
      <c r="E14" s="75" t="str">
        <f aca="false">TEXT(Assumptions!B18,"0")&amp;" dinners aboard"</f>
        <v>14 dinners aboard</v>
      </c>
      <c r="F14" s="76" t="n">
        <f aca="false">Assumptions!B19</f>
        <v>46</v>
      </c>
      <c r="G14" s="77" t="n">
        <f aca="false">SUMPRODUCT((ROW(G4:G13)-3&lt;=Assumptions!$B$6)*G4:G13)</f>
        <v>12.28</v>
      </c>
      <c r="H14" s="77" t="n">
        <f aca="false">SUMPRODUCT((ROW(H4:H13)-3&lt;=Assumptions!$B$6)*H4:H13)</f>
        <v>19.18</v>
      </c>
      <c r="I14" s="77" t="n">
        <f aca="false">SUMPRODUCT((ROW(I4:I13)-3&lt;=Assumptions!$B$6)*I4:I13)</f>
        <v>9.98</v>
      </c>
      <c r="J14" s="77" t="n">
        <f aca="false">SUMPRODUCT((ROW(J4:J13)-3&lt;=Assumptions!$B$6)*J4:J13)</f>
        <v>9.2</v>
      </c>
      <c r="K14" s="78" t="s">
        <v>138</v>
      </c>
      <c r="L14" s="79" t="n">
        <f aca="false">SUMPRODUCT((ROW(L4:L13)-3&lt;=Assumptions!$B$6)*L4:L13)</f>
        <v>25.8</v>
      </c>
    </row>
    <row r="15" customFormat="false" ht="21.75" hidden="false" customHeight="true" outlineLevel="0" collapsed="false">
      <c r="A15" s="80" t="s">
        <v>139</v>
      </c>
      <c r="B15" s="80" t="str">
        <f aca="false">IF(Assumptions!B13="YES","Breakfasts: "&amp;TEXT(Assumptions!B6,"0"),"Breakfasts: 0")</f>
        <v>Breakfasts: 10</v>
      </c>
      <c r="C15" s="80" t="str">
        <f aca="false">"Lunches aboard: "&amp;TEXT(Assumptions!B6-Assumptions!B12,"0")</f>
        <v>Lunches aboard: 6</v>
      </c>
      <c r="D15" s="80"/>
      <c r="E15" s="80" t="str">
        <f aca="false">"Dinners aboard: "&amp;TEXT(Assumptions!B6-Assumptions!B11,"0")</f>
        <v>Dinners aboard: 7</v>
      </c>
      <c r="F15" s="80" t="str">
        <f aca="false">"Meals out: "&amp;TEXT(Assumptions!B11+Assumptions!B12,"0")</f>
        <v>Meals out: 7</v>
      </c>
      <c r="G15" s="80" t="s">
        <v>140</v>
      </c>
      <c r="H15" s="80" t="s">
        <v>141</v>
      </c>
      <c r="I15" s="80" t="s">
        <v>142</v>
      </c>
      <c r="J15" s="80" t="s">
        <v>143</v>
      </c>
      <c r="K15" s="80" t="s">
        <v>144</v>
      </c>
      <c r="L15" s="81" t="s">
        <v>145</v>
      </c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G1:K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2" min="2" style="1" width="20"/>
    <col collapsed="false" customWidth="true" hidden="false" outlineLevel="0" max="4" min="3" style="1" width="16"/>
    <col collapsed="false" customWidth="true" hidden="false" outlineLevel="0" max="5" min="5" style="1" width="37.15"/>
    <col collapsed="false" customWidth="true" hidden="false" outlineLevel="0" max="26" min="6" style="1" width="11"/>
  </cols>
  <sheetData>
    <row r="1" customFormat="false" ht="36" hidden="false" customHeight="true" outlineLevel="0" collapsed="false">
      <c r="A1" s="57" t="str">
        <f aca="false">"Master Shopping List  |  "&amp;TEXT(Assumptions!B6,"0")&amp;" Days  |  "&amp;TEXT(Assumptions!B5,"0")&amp;" People"</f>
        <v>Master Shopping List  |  10 Days  |  2 People</v>
      </c>
      <c r="B1" s="3"/>
      <c r="C1" s="3"/>
      <c r="D1" s="82" t="s">
        <v>146</v>
      </c>
      <c r="E1" s="82"/>
      <c r="F1" s="83" t="s">
        <v>147</v>
      </c>
    </row>
    <row r="2" customFormat="false" ht="21.75" hidden="false" customHeight="true" outlineLevel="0" collapsed="false">
      <c r="A2" s="59" t="s">
        <v>148</v>
      </c>
      <c r="B2" s="59"/>
      <c r="C2" s="59"/>
      <c r="D2" s="59"/>
      <c r="E2" s="59"/>
      <c r="F2" s="59"/>
    </row>
    <row r="3" customFormat="false" ht="31.5" hidden="false" customHeight="true" outlineLevel="0" collapsed="false">
      <c r="A3" s="84" t="s">
        <v>149</v>
      </c>
      <c r="B3" s="84" t="s">
        <v>150</v>
      </c>
      <c r="C3" s="61" t="str">
        <f aca="false">"Est. Qty ("&amp;TEXT(Assumptions!B5,"0")&amp;" ppl/"&amp;TEXT(Assumptions!B6,"0")&amp;" days)"</f>
        <v>Est. Qty (2 ppl/10 days)</v>
      </c>
      <c r="D3" s="84" t="s">
        <v>151</v>
      </c>
      <c r="E3" s="84" t="s">
        <v>89</v>
      </c>
      <c r="F3" s="85" t="s">
        <v>152</v>
      </c>
    </row>
    <row r="4" customFormat="false" ht="19.5" hidden="false" customHeight="true" outlineLevel="0" collapsed="false">
      <c r="A4" s="75" t="s">
        <v>153</v>
      </c>
      <c r="B4" s="75"/>
      <c r="C4" s="75"/>
      <c r="D4" s="75"/>
      <c r="E4" s="75"/>
    </row>
    <row r="5" customFormat="false" ht="19.5" hidden="false" customHeight="true" outlineLevel="0" collapsed="false">
      <c r="A5" s="86" t="s">
        <v>154</v>
      </c>
      <c r="B5" s="86"/>
      <c r="C5" s="86"/>
      <c r="D5" s="86"/>
      <c r="E5" s="86"/>
    </row>
    <row r="6" customFormat="false" ht="19.5" hidden="false" customHeight="true" outlineLevel="0" collapsed="false">
      <c r="A6" s="12" t="s">
        <v>155</v>
      </c>
      <c r="B6" s="87" t="s">
        <v>156</v>
      </c>
      <c r="C6" s="37" t="s">
        <v>157</v>
      </c>
      <c r="D6" s="87" t="s">
        <v>158</v>
      </c>
      <c r="E6" s="88" t="s">
        <v>159</v>
      </c>
      <c r="F6" s="89" t="n">
        <f aca="false">ROUND(10*(Assumptions!$B$5/2)*(Assumptions!$B$6/10),0)</f>
        <v>10</v>
      </c>
    </row>
    <row r="7" customFormat="false" ht="19.5" hidden="false" customHeight="true" outlineLevel="0" collapsed="false">
      <c r="A7" s="8" t="s">
        <v>160</v>
      </c>
      <c r="B7" s="90" t="s">
        <v>156</v>
      </c>
      <c r="C7" s="41" t="s">
        <v>161</v>
      </c>
      <c r="D7" s="90" t="s">
        <v>158</v>
      </c>
      <c r="E7" s="69" t="s">
        <v>162</v>
      </c>
      <c r="F7" s="89" t="n">
        <f aca="false">ROUND(6*(Assumptions!$B$5/2)*(Assumptions!$B$6/10),0)</f>
        <v>6</v>
      </c>
    </row>
    <row r="8" customFormat="false" ht="19.5" hidden="false" customHeight="true" outlineLevel="0" collapsed="false">
      <c r="A8" s="12" t="s">
        <v>163</v>
      </c>
      <c r="B8" s="87" t="s">
        <v>156</v>
      </c>
      <c r="C8" s="37" t="s">
        <v>164</v>
      </c>
      <c r="D8" s="87" t="s">
        <v>165</v>
      </c>
      <c r="E8" s="88" t="s">
        <v>166</v>
      </c>
      <c r="F8" s="91" t="n">
        <f aca="false">ROUND(1*(Assumptions!$B$5/2)*(Assumptions!$B$6/10),1)</f>
        <v>1</v>
      </c>
    </row>
    <row r="9" customFormat="false" ht="19.5" hidden="false" customHeight="true" outlineLevel="0" collapsed="false">
      <c r="A9" s="8" t="s">
        <v>167</v>
      </c>
      <c r="B9" s="90" t="s">
        <v>156</v>
      </c>
      <c r="C9" s="41" t="s">
        <v>164</v>
      </c>
      <c r="D9" s="90" t="s">
        <v>168</v>
      </c>
      <c r="E9" s="69" t="s">
        <v>169</v>
      </c>
      <c r="F9" s="91" t="n">
        <f aca="false">ROUND(1*(Assumptions!$B$5/2)*(Assumptions!$B$6/10),1)</f>
        <v>1</v>
      </c>
    </row>
    <row r="10" customFormat="false" ht="19.5" hidden="false" customHeight="true" outlineLevel="0" collapsed="false">
      <c r="A10" s="12" t="s">
        <v>170</v>
      </c>
      <c r="B10" s="87" t="s">
        <v>156</v>
      </c>
      <c r="C10" s="37" t="s">
        <v>171</v>
      </c>
      <c r="D10" s="87" t="s">
        <v>165</v>
      </c>
      <c r="E10" s="88" t="s">
        <v>172</v>
      </c>
      <c r="F10" s="91" t="n">
        <f aca="false">ROUND(2*(Assumptions!$B$5/2)*(Assumptions!$B$6/10),1)</f>
        <v>2</v>
      </c>
    </row>
    <row r="11" customFormat="false" ht="19.5" hidden="false" customHeight="true" outlineLevel="0" collapsed="false">
      <c r="A11" s="86" t="s">
        <v>173</v>
      </c>
      <c r="B11" s="86"/>
      <c r="C11" s="86"/>
      <c r="D11" s="86"/>
      <c r="E11" s="86"/>
    </row>
    <row r="12" customFormat="false" ht="19.5" hidden="false" customHeight="true" outlineLevel="0" collapsed="false">
      <c r="A12" s="92" t="s">
        <v>174</v>
      </c>
      <c r="B12" s="87" t="s">
        <v>175</v>
      </c>
      <c r="C12" s="37" t="s">
        <v>171</v>
      </c>
      <c r="D12" s="87" t="s">
        <v>176</v>
      </c>
      <c r="E12" s="88" t="s">
        <v>177</v>
      </c>
      <c r="F12" s="89" t="n">
        <f aca="false">ROUND(2*(Assumptions!$B$5/2)*(Assumptions!$B$6/10),0)</f>
        <v>2</v>
      </c>
    </row>
    <row r="13" customFormat="false" ht="19.5" hidden="false" customHeight="true" outlineLevel="0" collapsed="false">
      <c r="A13" s="93" t="s">
        <v>178</v>
      </c>
      <c r="B13" s="90" t="s">
        <v>175</v>
      </c>
      <c r="C13" s="41" t="s">
        <v>179</v>
      </c>
      <c r="D13" s="90" t="s">
        <v>180</v>
      </c>
      <c r="E13" s="69" t="s">
        <v>181</v>
      </c>
      <c r="F13" s="89" t="n">
        <f aca="false">ROUND(12*(Assumptions!$B$5/2)*(Assumptions!$B$6/10),0)</f>
        <v>12</v>
      </c>
    </row>
    <row r="14" customFormat="false" ht="19.5" hidden="false" customHeight="true" outlineLevel="0" collapsed="false">
      <c r="A14" s="92" t="s">
        <v>182</v>
      </c>
      <c r="B14" s="87" t="s">
        <v>175</v>
      </c>
      <c r="C14" s="37" t="s">
        <v>183</v>
      </c>
      <c r="D14" s="87" t="s">
        <v>165</v>
      </c>
      <c r="E14" s="88" t="s">
        <v>184</v>
      </c>
      <c r="F14" s="91" t="n">
        <f aca="false">ROUND(1.5*(Assumptions!$B$5/2)*(Assumptions!$B$6/10),1)</f>
        <v>1.5</v>
      </c>
    </row>
    <row r="15" customFormat="false" ht="19.5" hidden="false" customHeight="true" outlineLevel="0" collapsed="false">
      <c r="A15" s="93" t="s">
        <v>185</v>
      </c>
      <c r="B15" s="90" t="s">
        <v>175</v>
      </c>
      <c r="C15" s="41" t="s">
        <v>186</v>
      </c>
      <c r="D15" s="90" t="s">
        <v>165</v>
      </c>
      <c r="E15" s="69" t="s">
        <v>187</v>
      </c>
      <c r="F15" s="91" t="n">
        <f aca="false">ROUND(0.75*(Assumptions!$B$5/2)*(Assumptions!$B$6/10),1)</f>
        <v>0.8</v>
      </c>
    </row>
    <row r="16" customFormat="false" ht="19.5" hidden="false" customHeight="true" outlineLevel="0" collapsed="false">
      <c r="A16" s="86" t="s">
        <v>188</v>
      </c>
      <c r="B16" s="86"/>
      <c r="C16" s="86"/>
      <c r="D16" s="86"/>
      <c r="E16" s="86"/>
    </row>
    <row r="17" customFormat="false" ht="19.5" hidden="false" customHeight="true" outlineLevel="0" collapsed="false">
      <c r="A17" s="94" t="s">
        <v>189</v>
      </c>
      <c r="B17" s="90" t="s">
        <v>190</v>
      </c>
      <c r="C17" s="95" t="s">
        <v>191</v>
      </c>
      <c r="D17" s="90" t="s">
        <v>192</v>
      </c>
      <c r="E17" s="69" t="str">
        <f aca="false">"One hot dinner per bag, "&amp;TEXT(Assumptions!$B$5,"0")&amp;" people"</f>
        <v>One hot dinner per bag, 2 people</v>
      </c>
      <c r="F17" s="89" t="n">
        <f aca="false">ROUND(7*(Assumptions!$B$5/2)*(Assumptions!$B$6/10),0)</f>
        <v>7</v>
      </c>
    </row>
    <row r="18" customFormat="false" ht="19.5" hidden="false" customHeight="true" outlineLevel="0" collapsed="false">
      <c r="A18" s="96" t="s">
        <v>193</v>
      </c>
      <c r="B18" s="87" t="s">
        <v>190</v>
      </c>
      <c r="C18" s="97" t="s">
        <v>171</v>
      </c>
      <c r="D18" s="87" t="s">
        <v>165</v>
      </c>
      <c r="E18" s="88" t="s">
        <v>194</v>
      </c>
      <c r="F18" s="91" t="n">
        <f aca="false">ROUND(2*(Assumptions!$B$5/2)*(Assumptions!$B$6/10),1)</f>
        <v>2</v>
      </c>
    </row>
    <row r="19" customFormat="false" ht="19.5" hidden="false" customHeight="true" outlineLevel="0" collapsed="false">
      <c r="A19" s="94" t="s">
        <v>195</v>
      </c>
      <c r="B19" s="90" t="s">
        <v>190</v>
      </c>
      <c r="C19" s="95" t="s">
        <v>183</v>
      </c>
      <c r="D19" s="90" t="s">
        <v>165</v>
      </c>
      <c r="E19" s="69" t="s">
        <v>196</v>
      </c>
      <c r="F19" s="91" t="n">
        <f aca="false">ROUND(1.5*(Assumptions!$B$5/2)*(Assumptions!$B$6/10),1)</f>
        <v>1.5</v>
      </c>
    </row>
    <row r="20" customFormat="false" ht="19.5" hidden="false" customHeight="true" outlineLevel="0" collapsed="false">
      <c r="A20" s="75" t="s">
        <v>197</v>
      </c>
      <c r="B20" s="75"/>
      <c r="C20" s="75"/>
      <c r="D20" s="75"/>
      <c r="E20" s="75"/>
    </row>
    <row r="21" customFormat="false" ht="19.5" hidden="false" customHeight="true" outlineLevel="0" collapsed="false">
      <c r="A21" s="86" t="s">
        <v>198</v>
      </c>
      <c r="B21" s="86"/>
      <c r="C21" s="86"/>
      <c r="D21" s="86"/>
      <c r="E21" s="86"/>
    </row>
    <row r="22" customFormat="false" ht="19.5" hidden="false" customHeight="true" outlineLevel="0" collapsed="false">
      <c r="A22" s="12" t="s">
        <v>199</v>
      </c>
      <c r="B22" s="87" t="s">
        <v>200</v>
      </c>
      <c r="C22" s="37" t="s">
        <v>171</v>
      </c>
      <c r="D22" s="87" t="s">
        <v>165</v>
      </c>
      <c r="E22" s="88" t="s">
        <v>201</v>
      </c>
      <c r="F22" s="91" t="n">
        <f aca="false">ROUND(2*(Assumptions!$B$5/2)*(Assumptions!$B$6/10),1)</f>
        <v>2</v>
      </c>
    </row>
    <row r="23" customFormat="false" ht="19.5" hidden="false" customHeight="true" outlineLevel="0" collapsed="false">
      <c r="A23" s="8" t="s">
        <v>202</v>
      </c>
      <c r="B23" s="90" t="s">
        <v>200</v>
      </c>
      <c r="C23" s="41" t="s">
        <v>164</v>
      </c>
      <c r="D23" s="90" t="s">
        <v>203</v>
      </c>
      <c r="E23" s="69" t="s">
        <v>204</v>
      </c>
      <c r="F23" s="91" t="n">
        <f aca="false">ROUND(1*(Assumptions!$B$5/2)*(Assumptions!$B$6/10),1)</f>
        <v>1</v>
      </c>
    </row>
    <row r="24" customFormat="false" ht="19.5" hidden="false" customHeight="true" outlineLevel="0" collapsed="false">
      <c r="A24" s="12" t="s">
        <v>205</v>
      </c>
      <c r="B24" s="87" t="s">
        <v>200</v>
      </c>
      <c r="C24" s="37" t="s">
        <v>206</v>
      </c>
      <c r="D24" s="87" t="s">
        <v>165</v>
      </c>
      <c r="E24" s="88" t="s">
        <v>207</v>
      </c>
      <c r="F24" s="91" t="n">
        <f aca="false">ROUND(0.5*(Assumptions!$B$5/2)*(Assumptions!$B$6/10),1)</f>
        <v>0.5</v>
      </c>
    </row>
    <row r="25" customFormat="false" ht="19.5" hidden="false" customHeight="true" outlineLevel="0" collapsed="false">
      <c r="A25" s="8" t="s">
        <v>208</v>
      </c>
      <c r="B25" s="90" t="s">
        <v>200</v>
      </c>
      <c r="C25" s="41" t="s">
        <v>164</v>
      </c>
      <c r="D25" s="90" t="s">
        <v>209</v>
      </c>
      <c r="E25" s="69" t="s">
        <v>210</v>
      </c>
      <c r="F25" s="91" t="n">
        <f aca="false">ROUND(1*(Assumptions!$B$5/2)*(Assumptions!$B$6/10),1)</f>
        <v>1</v>
      </c>
    </row>
    <row r="26" customFormat="false" ht="19.5" hidden="false" customHeight="true" outlineLevel="0" collapsed="false">
      <c r="A26" s="12" t="s">
        <v>211</v>
      </c>
      <c r="B26" s="87" t="s">
        <v>200</v>
      </c>
      <c r="C26" s="37" t="s">
        <v>171</v>
      </c>
      <c r="D26" s="87" t="s">
        <v>165</v>
      </c>
      <c r="E26" s="88" t="s">
        <v>212</v>
      </c>
      <c r="F26" s="91" t="n">
        <f aca="false">ROUND(2*(Assumptions!$B$5/2)*(Assumptions!$B$6/10),1)</f>
        <v>2</v>
      </c>
    </row>
    <row r="27" customFormat="false" ht="19.5" hidden="false" customHeight="true" outlineLevel="0" collapsed="false">
      <c r="A27" s="8" t="s">
        <v>213</v>
      </c>
      <c r="B27" s="90" t="s">
        <v>200</v>
      </c>
      <c r="C27" s="41" t="s">
        <v>164</v>
      </c>
      <c r="D27" s="90" t="s">
        <v>209</v>
      </c>
      <c r="E27" s="69" t="s">
        <v>212</v>
      </c>
      <c r="F27" s="91" t="n">
        <f aca="false">ROUND(1*(Assumptions!$B$5/2)*(Assumptions!$B$6/10),1)</f>
        <v>1</v>
      </c>
    </row>
    <row r="28" customFormat="false" ht="19.5" hidden="false" customHeight="true" outlineLevel="0" collapsed="false">
      <c r="A28" s="92" t="s">
        <v>214</v>
      </c>
      <c r="B28" s="87" t="s">
        <v>200</v>
      </c>
      <c r="C28" s="37" t="s">
        <v>215</v>
      </c>
      <c r="D28" s="87" t="s">
        <v>216</v>
      </c>
      <c r="E28" s="88" t="s">
        <v>217</v>
      </c>
      <c r="F28" s="89" t="n">
        <f aca="false">ROUND(4*(Assumptions!$B$5/2)*(Assumptions!$B$6/10),0)</f>
        <v>4</v>
      </c>
    </row>
    <row r="29" customFormat="false" ht="19.5" hidden="false" customHeight="true" outlineLevel="0" collapsed="false">
      <c r="A29" s="93" t="s">
        <v>218</v>
      </c>
      <c r="B29" s="90" t="s">
        <v>200</v>
      </c>
      <c r="C29" s="41" t="s">
        <v>215</v>
      </c>
      <c r="D29" s="90" t="s">
        <v>219</v>
      </c>
      <c r="E29" s="69" t="s">
        <v>220</v>
      </c>
      <c r="F29" s="89" t="n">
        <f aca="false">ROUND(4*(Assumptions!$B$5/2)*(Assumptions!$B$6/10),0)</f>
        <v>4</v>
      </c>
    </row>
    <row r="30" customFormat="false" ht="19.5" hidden="false" customHeight="true" outlineLevel="0" collapsed="false">
      <c r="A30" s="86" t="s">
        <v>221</v>
      </c>
      <c r="B30" s="86"/>
      <c r="C30" s="86"/>
      <c r="D30" s="86"/>
      <c r="E30" s="86"/>
    </row>
    <row r="31" customFormat="false" ht="19.5" hidden="false" customHeight="true" outlineLevel="0" collapsed="false">
      <c r="A31" s="8" t="s">
        <v>222</v>
      </c>
      <c r="B31" s="90" t="s">
        <v>223</v>
      </c>
      <c r="C31" s="41" t="s">
        <v>215</v>
      </c>
      <c r="D31" s="90" t="s">
        <v>158</v>
      </c>
      <c r="E31" s="69" t="s">
        <v>162</v>
      </c>
      <c r="F31" s="89" t="n">
        <f aca="false">ROUND(4*(Assumptions!$B$5/2)*(Assumptions!$B$6/10),0)</f>
        <v>4</v>
      </c>
    </row>
    <row r="32" customFormat="false" ht="19.5" hidden="false" customHeight="true" outlineLevel="0" collapsed="false">
      <c r="A32" s="12" t="s">
        <v>224</v>
      </c>
      <c r="B32" s="87" t="s">
        <v>223</v>
      </c>
      <c r="C32" s="37" t="s">
        <v>225</v>
      </c>
      <c r="D32" s="87" t="s">
        <v>158</v>
      </c>
      <c r="E32" s="88" t="s">
        <v>162</v>
      </c>
      <c r="F32" s="89" t="n">
        <f aca="false">ROUND(3*(Assumptions!$B$5/2)*(Assumptions!$B$6/10),0)</f>
        <v>3</v>
      </c>
    </row>
    <row r="33" customFormat="false" ht="19.5" hidden="false" customHeight="true" outlineLevel="0" collapsed="false">
      <c r="A33" s="8" t="s">
        <v>226</v>
      </c>
      <c r="B33" s="90" t="s">
        <v>223</v>
      </c>
      <c r="C33" s="41" t="s">
        <v>215</v>
      </c>
      <c r="D33" s="90" t="s">
        <v>158</v>
      </c>
      <c r="E33" s="69" t="s">
        <v>227</v>
      </c>
      <c r="F33" s="89" t="n">
        <f aca="false">ROUND(4*(Assumptions!$B$5/2)*(Assumptions!$B$6/10),0)</f>
        <v>4</v>
      </c>
    </row>
    <row r="34" customFormat="false" ht="19.5" hidden="false" customHeight="true" outlineLevel="0" collapsed="false">
      <c r="A34" s="12" t="s">
        <v>228</v>
      </c>
      <c r="B34" s="87" t="s">
        <v>229</v>
      </c>
      <c r="C34" s="37" t="s">
        <v>206</v>
      </c>
      <c r="D34" s="87" t="s">
        <v>230</v>
      </c>
      <c r="E34" s="88" t="s">
        <v>231</v>
      </c>
      <c r="F34" s="91" t="n">
        <f aca="false">ROUND(0.5*(Assumptions!$B$5/2)*(Assumptions!$B$6/10),1)</f>
        <v>0.5</v>
      </c>
    </row>
    <row r="35" customFormat="false" ht="19.5" hidden="false" customHeight="true" outlineLevel="0" collapsed="false">
      <c r="A35" s="75" t="s">
        <v>232</v>
      </c>
      <c r="B35" s="75"/>
      <c r="C35" s="75"/>
      <c r="D35" s="75"/>
      <c r="E35" s="75"/>
    </row>
    <row r="36" customFormat="false" ht="19.5" hidden="false" customHeight="true" outlineLevel="0" collapsed="false">
      <c r="A36" s="86" t="s">
        <v>233</v>
      </c>
      <c r="B36" s="86"/>
      <c r="C36" s="86"/>
      <c r="D36" s="86"/>
      <c r="E36" s="86"/>
    </row>
    <row r="37" customFormat="false" ht="19.5" hidden="false" customHeight="true" outlineLevel="0" collapsed="false">
      <c r="A37" s="8" t="s">
        <v>234</v>
      </c>
      <c r="B37" s="90" t="s">
        <v>235</v>
      </c>
      <c r="C37" s="41" t="s">
        <v>157</v>
      </c>
      <c r="D37" s="90" t="s">
        <v>236</v>
      </c>
      <c r="E37" s="69" t="s">
        <v>237</v>
      </c>
      <c r="F37" s="89" t="n">
        <f aca="false">ROUND(10*(Assumptions!$B$5/2)*(Assumptions!$B$6/10),0)</f>
        <v>10</v>
      </c>
    </row>
    <row r="38" customFormat="false" ht="19.5" hidden="false" customHeight="true" outlineLevel="0" collapsed="false">
      <c r="A38" s="12" t="s">
        <v>238</v>
      </c>
      <c r="B38" s="87" t="s">
        <v>235</v>
      </c>
      <c r="C38" s="37" t="s">
        <v>157</v>
      </c>
      <c r="D38" s="87" t="s">
        <v>239</v>
      </c>
      <c r="E38" s="88" t="s">
        <v>240</v>
      </c>
      <c r="F38" s="89" t="n">
        <f aca="false">ROUND(10*(Assumptions!$B$5/2)*(Assumptions!$B$6/10),0)</f>
        <v>10</v>
      </c>
    </row>
    <row r="39" customFormat="false" ht="19.5" hidden="false" customHeight="true" outlineLevel="0" collapsed="false">
      <c r="A39" s="8" t="s">
        <v>241</v>
      </c>
      <c r="B39" s="90" t="s">
        <v>235</v>
      </c>
      <c r="C39" s="41" t="s">
        <v>242</v>
      </c>
      <c r="D39" s="90" t="s">
        <v>243</v>
      </c>
      <c r="E39" s="69" t="s">
        <v>244</v>
      </c>
      <c r="F39" s="89" t="n">
        <f aca="false">ROUND(8*(Assumptions!$B$5/2)*(Assumptions!$B$6/10),0)</f>
        <v>8</v>
      </c>
    </row>
    <row r="40" customFormat="false" ht="19.5" hidden="false" customHeight="true" outlineLevel="0" collapsed="false">
      <c r="A40" s="86" t="s">
        <v>245</v>
      </c>
      <c r="B40" s="86"/>
      <c r="C40" s="86"/>
      <c r="D40" s="86"/>
      <c r="E40" s="86"/>
    </row>
    <row r="41" customFormat="false" ht="19.5" hidden="false" customHeight="true" outlineLevel="0" collapsed="false">
      <c r="A41" s="8" t="s">
        <v>246</v>
      </c>
      <c r="B41" s="90" t="s">
        <v>247</v>
      </c>
      <c r="C41" s="41" t="s">
        <v>206</v>
      </c>
      <c r="D41" s="90" t="s">
        <v>165</v>
      </c>
      <c r="E41" s="69" t="s">
        <v>248</v>
      </c>
      <c r="F41" s="91" t="n">
        <f aca="false">ROUND(0.5*(Assumptions!$B$5/2)*(Assumptions!$B$6/10),1)</f>
        <v>0.5</v>
      </c>
    </row>
    <row r="42" customFormat="false" ht="19.5" hidden="false" customHeight="true" outlineLevel="0" collapsed="false">
      <c r="A42" s="12" t="s">
        <v>249</v>
      </c>
      <c r="B42" s="87" t="s">
        <v>247</v>
      </c>
      <c r="C42" s="37" t="s">
        <v>206</v>
      </c>
      <c r="D42" s="87" t="s">
        <v>165</v>
      </c>
      <c r="E42" s="88" t="s">
        <v>250</v>
      </c>
      <c r="F42" s="91" t="n">
        <f aca="false">ROUND(0.5*(Assumptions!$B$5/2)*(Assumptions!$B$6/10),1)</f>
        <v>0.5</v>
      </c>
    </row>
    <row r="43" customFormat="false" ht="19.5" hidden="false" customHeight="true" outlineLevel="0" collapsed="false">
      <c r="A43" s="8" t="s">
        <v>251</v>
      </c>
      <c r="B43" s="90" t="s">
        <v>247</v>
      </c>
      <c r="C43" s="41" t="s">
        <v>206</v>
      </c>
      <c r="D43" s="90" t="s">
        <v>165</v>
      </c>
      <c r="E43" s="69" t="s">
        <v>252</v>
      </c>
      <c r="F43" s="91" t="n">
        <f aca="false">ROUND(0.5*(Assumptions!$B$5/2)*(Assumptions!$B$6/10),1)</f>
        <v>0.5</v>
      </c>
    </row>
    <row r="44" customFormat="false" ht="19.5" hidden="false" customHeight="true" outlineLevel="0" collapsed="false">
      <c r="A44" s="75" t="s">
        <v>253</v>
      </c>
      <c r="B44" s="75"/>
      <c r="C44" s="75"/>
      <c r="D44" s="75"/>
      <c r="E44" s="75"/>
    </row>
    <row r="45" customFormat="false" ht="19.5" hidden="false" customHeight="true" outlineLevel="0" collapsed="false">
      <c r="A45" s="8" t="s">
        <v>254</v>
      </c>
      <c r="B45" s="90" t="s">
        <v>255</v>
      </c>
      <c r="C45" s="41" t="s">
        <v>225</v>
      </c>
      <c r="D45" s="90" t="s">
        <v>165</v>
      </c>
      <c r="E45" s="69" t="s">
        <v>256</v>
      </c>
      <c r="F45" s="91" t="n">
        <f aca="false">ROUND(3*(Assumptions!$B$5/2)*(Assumptions!$B$6/10),1)</f>
        <v>3</v>
      </c>
    </row>
    <row r="46" customFormat="false" ht="19.5" hidden="false" customHeight="true" outlineLevel="0" collapsed="false">
      <c r="A46" s="12" t="s">
        <v>257</v>
      </c>
      <c r="B46" s="87" t="s">
        <v>255</v>
      </c>
      <c r="C46" s="37" t="s">
        <v>171</v>
      </c>
      <c r="D46" s="87" t="s">
        <v>165</v>
      </c>
      <c r="E46" s="88" t="s">
        <v>256</v>
      </c>
      <c r="F46" s="91" t="n">
        <f aca="false">ROUND(2*(Assumptions!$B$5/2)*(Assumptions!$B$6/10),1)</f>
        <v>2</v>
      </c>
    </row>
    <row r="47" customFormat="false" ht="19.5" hidden="false" customHeight="true" outlineLevel="0" collapsed="false">
      <c r="A47" s="8" t="s">
        <v>258</v>
      </c>
      <c r="B47" s="90" t="s">
        <v>255</v>
      </c>
      <c r="C47" s="41" t="s">
        <v>183</v>
      </c>
      <c r="D47" s="90" t="s">
        <v>165</v>
      </c>
      <c r="E47" s="69" t="s">
        <v>259</v>
      </c>
      <c r="F47" s="91" t="n">
        <f aca="false">ROUND(1.5*(Assumptions!$B$5/2)*(Assumptions!$B$6/10),1)</f>
        <v>1.5</v>
      </c>
    </row>
    <row r="48" customFormat="false" ht="19.5" hidden="false" customHeight="true" outlineLevel="0" collapsed="false">
      <c r="A48" s="12" t="s">
        <v>260</v>
      </c>
      <c r="B48" s="87" t="s">
        <v>255</v>
      </c>
      <c r="C48" s="37" t="s">
        <v>171</v>
      </c>
      <c r="D48" s="87" t="s">
        <v>261</v>
      </c>
      <c r="E48" s="88" t="s">
        <v>259</v>
      </c>
      <c r="F48" s="89" t="n">
        <f aca="false">ROUND(2*(Assumptions!$B$5/2)*(Assumptions!$B$6/10),0)</f>
        <v>2</v>
      </c>
    </row>
    <row r="49" customFormat="false" ht="19.5" hidden="false" customHeight="true" outlineLevel="0" collapsed="false">
      <c r="A49" s="8" t="s">
        <v>262</v>
      </c>
      <c r="B49" s="90" t="s">
        <v>255</v>
      </c>
      <c r="C49" s="41" t="s">
        <v>183</v>
      </c>
      <c r="D49" s="90" t="s">
        <v>165</v>
      </c>
      <c r="E49" s="69" t="s">
        <v>259</v>
      </c>
      <c r="F49" s="91" t="n">
        <f aca="false">ROUND(1.5*(Assumptions!$B$5/2)*(Assumptions!$B$6/10),1)</f>
        <v>1.5</v>
      </c>
    </row>
    <row r="50" customFormat="false" ht="19.5" hidden="false" customHeight="true" outlineLevel="0" collapsed="false">
      <c r="A50" s="92" t="s">
        <v>263</v>
      </c>
      <c r="B50" s="87" t="s">
        <v>255</v>
      </c>
      <c r="C50" s="37" t="s">
        <v>171</v>
      </c>
      <c r="D50" s="87" t="s">
        <v>264</v>
      </c>
      <c r="E50" s="88" t="s">
        <v>265</v>
      </c>
      <c r="F50" s="89" t="n">
        <f aca="false">ROUND(2*(Assumptions!$B$5/2)*(Assumptions!$B$6/10),0)</f>
        <v>2</v>
      </c>
    </row>
    <row r="51" customFormat="false" ht="19.5" hidden="false" customHeight="true" outlineLevel="0" collapsed="false">
      <c r="A51" s="8" t="s">
        <v>266</v>
      </c>
      <c r="B51" s="90" t="s">
        <v>255</v>
      </c>
      <c r="C51" s="41" t="s">
        <v>206</v>
      </c>
      <c r="D51" s="90" t="s">
        <v>165</v>
      </c>
      <c r="E51" s="69" t="s">
        <v>267</v>
      </c>
      <c r="F51" s="91" t="n">
        <f aca="false">ROUND(0.5*(Assumptions!$B$5/2)*(Assumptions!$B$6/10),1)</f>
        <v>0.5</v>
      </c>
    </row>
    <row r="52" customFormat="false" ht="19.5" hidden="false" customHeight="true" outlineLevel="0" collapsed="false">
      <c r="A52" s="12" t="s">
        <v>268</v>
      </c>
      <c r="B52" s="87" t="s">
        <v>255</v>
      </c>
      <c r="C52" s="37" t="s">
        <v>164</v>
      </c>
      <c r="D52" s="87" t="s">
        <v>165</v>
      </c>
      <c r="E52" s="88" t="s">
        <v>259</v>
      </c>
      <c r="F52" s="91" t="n">
        <f aca="false">ROUND(1*(Assumptions!$B$5/2)*(Assumptions!$B$6/10),1)</f>
        <v>1</v>
      </c>
    </row>
    <row r="53" customFormat="false" ht="19.5" hidden="false" customHeight="true" outlineLevel="0" collapsed="false">
      <c r="A53" s="75" t="s">
        <v>269</v>
      </c>
      <c r="B53" s="75"/>
      <c r="C53" s="75"/>
      <c r="D53" s="75"/>
      <c r="E53" s="75"/>
    </row>
    <row r="54" customFormat="false" ht="19.5" hidden="false" customHeight="true" outlineLevel="0" collapsed="false">
      <c r="A54" s="12" t="s">
        <v>270</v>
      </c>
      <c r="B54" s="87" t="s">
        <v>271</v>
      </c>
      <c r="C54" s="37" t="s">
        <v>161</v>
      </c>
      <c r="D54" s="87" t="s">
        <v>272</v>
      </c>
      <c r="E54" s="88" t="s">
        <v>273</v>
      </c>
      <c r="F54" s="89" t="n">
        <f aca="false">ROUND(6*(Assumptions!$B$5/2)*(Assumptions!$B$6/10),0)</f>
        <v>6</v>
      </c>
    </row>
    <row r="55" customFormat="false" ht="19.5" hidden="false" customHeight="true" outlineLevel="0" collapsed="false">
      <c r="A55" s="8" t="s">
        <v>274</v>
      </c>
      <c r="B55" s="90" t="s">
        <v>271</v>
      </c>
      <c r="C55" s="41" t="s">
        <v>164</v>
      </c>
      <c r="D55" s="90" t="s">
        <v>165</v>
      </c>
      <c r="E55" s="69" t="s">
        <v>275</v>
      </c>
      <c r="F55" s="91" t="n">
        <f aca="false">ROUND(1*(Assumptions!$B$5/2)*(Assumptions!$B$6/10),1)</f>
        <v>1</v>
      </c>
    </row>
    <row r="56" customFormat="false" ht="19.5" hidden="false" customHeight="true" outlineLevel="0" collapsed="false">
      <c r="A56" s="12" t="s">
        <v>276</v>
      </c>
      <c r="B56" s="87" t="s">
        <v>277</v>
      </c>
      <c r="C56" s="37" t="s">
        <v>215</v>
      </c>
      <c r="D56" s="87" t="s">
        <v>278</v>
      </c>
      <c r="E56" s="88" t="s">
        <v>279</v>
      </c>
      <c r="F56" s="89" t="n">
        <f aca="false">ROUND(4*(Assumptions!$B$5/2)*(Assumptions!$B$6/10),0)</f>
        <v>4</v>
      </c>
    </row>
    <row r="57" customFormat="false" ht="19.5" hidden="false" customHeight="true" outlineLevel="0" collapsed="false">
      <c r="A57" s="93" t="s">
        <v>280</v>
      </c>
      <c r="B57" s="90" t="s">
        <v>281</v>
      </c>
      <c r="C57" s="41" t="s">
        <v>206</v>
      </c>
      <c r="D57" s="90" t="s">
        <v>165</v>
      </c>
      <c r="E57" s="69" t="s">
        <v>282</v>
      </c>
      <c r="F57" s="91" t="n">
        <f aca="false">ROUND(0.5*(Assumptions!$B$5/2)*(Assumptions!$B$6/10),1)</f>
        <v>0.5</v>
      </c>
    </row>
    <row r="58" customFormat="false" ht="19.5" hidden="false" customHeight="true" outlineLevel="0" collapsed="false">
      <c r="A58" s="12" t="s">
        <v>283</v>
      </c>
      <c r="B58" s="87" t="s">
        <v>284</v>
      </c>
      <c r="C58" s="37" t="s">
        <v>164</v>
      </c>
      <c r="D58" s="87" t="s">
        <v>285</v>
      </c>
      <c r="E58" s="88" t="s">
        <v>286</v>
      </c>
    </row>
    <row r="59" customFormat="false" ht="19.5" hidden="false" customHeight="true" outlineLevel="0" collapsed="false">
      <c r="A59" s="8" t="s">
        <v>287</v>
      </c>
      <c r="B59" s="90" t="s">
        <v>284</v>
      </c>
      <c r="C59" s="41" t="s">
        <v>164</v>
      </c>
      <c r="D59" s="90" t="s">
        <v>168</v>
      </c>
      <c r="E59" s="69" t="s">
        <v>288</v>
      </c>
    </row>
    <row r="60" customFormat="false" ht="19.5" hidden="false" customHeight="true" outlineLevel="0" collapsed="false">
      <c r="A60" s="12" t="s">
        <v>289</v>
      </c>
      <c r="B60" s="87" t="s">
        <v>290</v>
      </c>
      <c r="C60" s="37" t="s">
        <v>164</v>
      </c>
      <c r="D60" s="87" t="s">
        <v>285</v>
      </c>
      <c r="E60" s="88" t="s">
        <v>291</v>
      </c>
    </row>
    <row r="61" customFormat="false" ht="19.5" hidden="false" customHeight="true" outlineLevel="0" collapsed="false">
      <c r="A61" s="8" t="s">
        <v>292</v>
      </c>
      <c r="B61" s="90" t="s">
        <v>290</v>
      </c>
      <c r="C61" s="41" t="s">
        <v>164</v>
      </c>
      <c r="D61" s="90" t="s">
        <v>285</v>
      </c>
      <c r="E61" s="69" t="s">
        <v>293</v>
      </c>
    </row>
    <row r="62" customFormat="false" ht="19.5" hidden="false" customHeight="true" outlineLevel="0" collapsed="false">
      <c r="A62" s="12" t="s">
        <v>294</v>
      </c>
      <c r="B62" s="87" t="s">
        <v>290</v>
      </c>
      <c r="C62" s="37" t="s">
        <v>164</v>
      </c>
      <c r="D62" s="87" t="s">
        <v>168</v>
      </c>
      <c r="E62" s="88" t="s">
        <v>293</v>
      </c>
    </row>
    <row r="63" customFormat="false" ht="19.5" hidden="false" customHeight="true" outlineLevel="0" collapsed="false">
      <c r="A63" s="8" t="s">
        <v>295</v>
      </c>
      <c r="B63" s="90" t="s">
        <v>290</v>
      </c>
      <c r="C63" s="41" t="s">
        <v>164</v>
      </c>
      <c r="D63" s="90" t="s">
        <v>285</v>
      </c>
      <c r="E63" s="69" t="s">
        <v>286</v>
      </c>
    </row>
    <row r="64" customFormat="false" ht="19.5" hidden="false" customHeight="true" outlineLevel="0" collapsed="false">
      <c r="A64" s="12" t="s">
        <v>296</v>
      </c>
      <c r="B64" s="87" t="s">
        <v>290</v>
      </c>
      <c r="C64" s="37" t="s">
        <v>164</v>
      </c>
      <c r="D64" s="87" t="s">
        <v>285</v>
      </c>
      <c r="E64" s="88" t="s">
        <v>286</v>
      </c>
    </row>
    <row r="65" customFormat="false" ht="19.5" hidden="false" customHeight="true" outlineLevel="0" collapsed="false">
      <c r="A65" s="8" t="s">
        <v>297</v>
      </c>
      <c r="B65" s="90" t="s">
        <v>298</v>
      </c>
      <c r="C65" s="41" t="s">
        <v>164</v>
      </c>
      <c r="D65" s="90" t="s">
        <v>230</v>
      </c>
      <c r="E65" s="69" t="s">
        <v>299</v>
      </c>
    </row>
    <row r="66" customFormat="false" ht="19.5" hidden="false" customHeight="true" outlineLevel="0" collapsed="false">
      <c r="A66" s="75" t="s">
        <v>300</v>
      </c>
      <c r="B66" s="75"/>
      <c r="C66" s="75"/>
      <c r="D66" s="75"/>
      <c r="E66" s="75"/>
    </row>
    <row r="67" customFormat="false" ht="19.5" hidden="false" customHeight="true" outlineLevel="0" collapsed="false">
      <c r="A67" s="8" t="s">
        <v>301</v>
      </c>
      <c r="B67" s="90" t="s">
        <v>302</v>
      </c>
      <c r="C67" s="41" t="s">
        <v>171</v>
      </c>
      <c r="D67" s="90" t="s">
        <v>165</v>
      </c>
      <c r="E67" s="69" t="s">
        <v>303</v>
      </c>
      <c r="F67" s="91" t="n">
        <f aca="false">ROUND(2*(Assumptions!$B$5/2)*(Assumptions!$B$6/10),1)</f>
        <v>2</v>
      </c>
    </row>
    <row r="68" customFormat="false" ht="19.5" hidden="false" customHeight="true" outlineLevel="0" collapsed="false">
      <c r="A68" s="12" t="s">
        <v>304</v>
      </c>
      <c r="B68" s="87" t="s">
        <v>302</v>
      </c>
      <c r="C68" s="37" t="s">
        <v>305</v>
      </c>
      <c r="D68" s="87" t="s">
        <v>306</v>
      </c>
      <c r="E68" s="88" t="s">
        <v>307</v>
      </c>
      <c r="F68" s="89" t="n">
        <f aca="false">ROUND(20*(Assumptions!$B$5/2)*(Assumptions!$B$6/10),0)</f>
        <v>20</v>
      </c>
    </row>
    <row r="69" customFormat="false" ht="19.5" hidden="false" customHeight="true" outlineLevel="0" collapsed="false">
      <c r="A69" s="8" t="s">
        <v>308</v>
      </c>
      <c r="B69" s="90" t="s">
        <v>302</v>
      </c>
      <c r="C69" s="41" t="s">
        <v>305</v>
      </c>
      <c r="D69" s="90" t="s">
        <v>309</v>
      </c>
      <c r="E69" s="69" t="s">
        <v>310</v>
      </c>
      <c r="F69" s="89" t="n">
        <f aca="false">ROUND(20*(Assumptions!$B$5/2)*(Assumptions!$B$6/10),0)</f>
        <v>20</v>
      </c>
    </row>
    <row r="70" customFormat="false" ht="19.5" hidden="false" customHeight="true" outlineLevel="0" collapsed="false">
      <c r="A70" s="12" t="s">
        <v>311</v>
      </c>
      <c r="B70" s="87" t="s">
        <v>302</v>
      </c>
      <c r="C70" s="37" t="s">
        <v>157</v>
      </c>
      <c r="D70" s="87" t="s">
        <v>306</v>
      </c>
      <c r="E70" s="88" t="s">
        <v>312</v>
      </c>
      <c r="F70" s="89" t="n">
        <f aca="false">ROUND(10*(Assumptions!$B$5/2)*(Assumptions!$B$6/10),0)</f>
        <v>10</v>
      </c>
    </row>
    <row r="71" customFormat="false" ht="19.5" hidden="false" customHeight="true" outlineLevel="0" collapsed="false">
      <c r="A71" s="75" t="s">
        <v>313</v>
      </c>
      <c r="B71" s="75"/>
      <c r="C71" s="75"/>
      <c r="D71" s="75"/>
      <c r="E71" s="75"/>
    </row>
    <row r="72" customFormat="false" ht="19.5" hidden="false" customHeight="true" outlineLevel="0" collapsed="false">
      <c r="A72" s="12" t="s">
        <v>314</v>
      </c>
      <c r="B72" s="87" t="s">
        <v>315</v>
      </c>
      <c r="C72" s="37" t="s">
        <v>164</v>
      </c>
      <c r="D72" s="87" t="s">
        <v>165</v>
      </c>
      <c r="E72" s="88" t="s">
        <v>316</v>
      </c>
      <c r="F72" s="91" t="n">
        <f aca="false">ROUND(1*(Assumptions!$B$5/2)*(Assumptions!$B$6/10),1)</f>
        <v>1</v>
      </c>
    </row>
    <row r="73" customFormat="false" ht="19.5" hidden="false" customHeight="true" outlineLevel="0" collapsed="false">
      <c r="A73" s="8" t="s">
        <v>317</v>
      </c>
      <c r="B73" s="90" t="s">
        <v>315</v>
      </c>
      <c r="C73" s="41" t="s">
        <v>164</v>
      </c>
      <c r="D73" s="90" t="s">
        <v>318</v>
      </c>
      <c r="E73" s="69" t="s">
        <v>319</v>
      </c>
      <c r="F73" s="89" t="n">
        <f aca="false">ROUND(1*(Assumptions!$B$5/2)*(Assumptions!$B$6/10),0)</f>
        <v>1</v>
      </c>
    </row>
    <row r="74" customFormat="false" ht="19.5" hidden="false" customHeight="true" outlineLevel="0" collapsed="false">
      <c r="A74" s="12" t="s">
        <v>320</v>
      </c>
      <c r="B74" s="87" t="s">
        <v>315</v>
      </c>
      <c r="C74" s="98" t="n">
        <f aca="false">ROUND(Assumptions!$E$27*2*10,0)</f>
        <v>20</v>
      </c>
      <c r="D74" s="87" t="s">
        <v>321</v>
      </c>
      <c r="E74" s="99" t="str">
        <f aca="false">TEXT(Assumptions!$E$27,"0.0")&amp;" gal/person/day — adjust rate in Assumptions E27"</f>
        <v>1.0 gal/person/day — adjust rate in Assumptions E27</v>
      </c>
      <c r="F74" s="100" t="n">
        <f aca="false">ROUND(Assumptions!$E$27*Assumptions!$B$5*Assumptions!$B$6,0)</f>
        <v>20</v>
      </c>
    </row>
    <row r="75" customFormat="false" ht="19.5" hidden="false" customHeight="true" outlineLevel="0" collapsed="false">
      <c r="A75" s="93" t="s">
        <v>322</v>
      </c>
      <c r="B75" s="90" t="s">
        <v>315</v>
      </c>
      <c r="C75" s="41" t="s">
        <v>323</v>
      </c>
      <c r="D75" s="90" t="s">
        <v>324</v>
      </c>
      <c r="E75" s="69" t="s">
        <v>325</v>
      </c>
      <c r="F75" s="89" t="n">
        <f aca="false">ROUND(5*(Assumptions!$B$5/2)*(Assumptions!$B$6/10),0)</f>
        <v>5</v>
      </c>
    </row>
    <row r="76" customFormat="false" ht="7.5" hidden="false" customHeight="true" outlineLevel="0" collapsed="false"/>
    <row r="77" customFormat="false" ht="21.75" hidden="false" customHeight="true" outlineLevel="0" collapsed="false">
      <c r="A77" s="56" t="s">
        <v>326</v>
      </c>
      <c r="B77" s="56"/>
      <c r="C77" s="56"/>
      <c r="D77" s="56"/>
      <c r="E77" s="56"/>
      <c r="F77" s="56"/>
    </row>
    <row r="78" customFormat="false" ht="15.75" hidden="false" customHeight="true" outlineLevel="0" collapsed="false"/>
    <row r="79" customFormat="false" ht="15.75" hidden="false" customHeight="true" outlineLevel="0" collapsed="false">
      <c r="A79" s="101" t="s">
        <v>327</v>
      </c>
      <c r="B79" s="101"/>
      <c r="C79" s="101"/>
      <c r="D79" s="101"/>
      <c r="E79" s="101"/>
      <c r="F79" s="101"/>
    </row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8">
    <mergeCell ref="D1:E1"/>
    <mergeCell ref="A2:E2"/>
    <mergeCell ref="A4:E4"/>
    <mergeCell ref="A5:E5"/>
    <mergeCell ref="A11:E11"/>
    <mergeCell ref="A16:E16"/>
    <mergeCell ref="A20:E20"/>
    <mergeCell ref="A21:E21"/>
    <mergeCell ref="A30:E30"/>
    <mergeCell ref="A35:E35"/>
    <mergeCell ref="A36:E36"/>
    <mergeCell ref="A40:E40"/>
    <mergeCell ref="A44:E44"/>
    <mergeCell ref="A53:E53"/>
    <mergeCell ref="A66:E66"/>
    <mergeCell ref="A71:E71"/>
    <mergeCell ref="A77:F77"/>
    <mergeCell ref="A79:F7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3" min="2" style="1" width="18"/>
    <col collapsed="false" customWidth="true" hidden="false" outlineLevel="0" max="4" min="4" style="1" width="20"/>
    <col collapsed="false" customWidth="true" hidden="false" outlineLevel="0" max="5" min="5" style="1" width="43.14"/>
    <col collapsed="false" customWidth="true" hidden="false" outlineLevel="0" max="26" min="6" style="1" width="8.71"/>
  </cols>
  <sheetData>
    <row r="1" customFormat="false" ht="36" hidden="false" customHeight="true" outlineLevel="0" collapsed="false">
      <c r="A1" s="57" t="str">
        <f aca="false">"Nutrition Summary  |  "&amp;TEXT(Assumptions!B6,"0")&amp;" Days  |  "&amp;TEXT(Assumptions!B5,"0")&amp;" People"</f>
        <v>Nutrition Summary  |  10 Days  |  2 People</v>
      </c>
      <c r="B1" s="3"/>
      <c r="C1" s="3"/>
      <c r="D1" s="3"/>
      <c r="E1" s="3"/>
    </row>
    <row r="2" customFormat="false" ht="21.75" hidden="false" customHeight="true" outlineLevel="0" collapsed="false">
      <c r="A2" s="59" t="str">
        <f aca="false">"Total weight targets for provisioning  |  Science-based daily targets × days aboard × "&amp;TEXT(Assumptions!B5,"0")&amp;" people"</f>
        <v>Total weight targets for provisioning  |  Science-based daily targets × days aboard × 2 people</v>
      </c>
      <c r="B2" s="59"/>
      <c r="C2" s="59"/>
      <c r="D2" s="59"/>
      <c r="E2" s="59"/>
    </row>
    <row r="3" customFormat="false" ht="31.5" hidden="false" customHeight="true" outlineLevel="0" collapsed="false">
      <c r="A3" s="60" t="s">
        <v>150</v>
      </c>
      <c r="B3" s="60" t="s">
        <v>328</v>
      </c>
      <c r="C3" s="60" t="str">
        <f aca="false">TEXT(Assumptions!B6,"0")&amp;"-Day Total ("&amp;TEXT(Assumptions!B5,"0")&amp;" people, lb)"</f>
        <v>10-Day Total (2 people, lb)</v>
      </c>
      <c r="D3" s="102" t="s">
        <v>329</v>
      </c>
      <c r="E3" s="60" t="s">
        <v>330</v>
      </c>
    </row>
    <row r="4" customFormat="false" ht="24" hidden="false" customHeight="true" outlineLevel="0" collapsed="false">
      <c r="A4" s="103" t="s">
        <v>36</v>
      </c>
      <c r="B4" s="104" t="s">
        <v>331</v>
      </c>
      <c r="C4" s="105" t="n">
        <f aca="false">Assumptions!$E$22*Assumptions!$B$6*Assumptions!$B$5</f>
        <v>16</v>
      </c>
      <c r="D4" s="106" t="n">
        <f aca="false">C4*16</f>
        <v>256</v>
      </c>
      <c r="E4" s="32" t="s">
        <v>332</v>
      </c>
    </row>
    <row r="5" customFormat="false" ht="24" hidden="false" customHeight="true" outlineLevel="0" collapsed="false">
      <c r="A5" s="40" t="s">
        <v>40</v>
      </c>
      <c r="B5" s="107" t="s">
        <v>333</v>
      </c>
      <c r="C5" s="108" t="n">
        <f aca="false">Assumptions!$E$23*Assumptions!$B$6*Assumptions!$B$5</f>
        <v>25</v>
      </c>
      <c r="D5" s="109" t="n">
        <f aca="false">C5*16</f>
        <v>400</v>
      </c>
      <c r="E5" s="11" t="s">
        <v>334</v>
      </c>
    </row>
    <row r="6" customFormat="false" ht="24" hidden="false" customHeight="true" outlineLevel="0" collapsed="false">
      <c r="A6" s="103" t="s">
        <v>44</v>
      </c>
      <c r="B6" s="104" t="s">
        <v>335</v>
      </c>
      <c r="C6" s="105" t="n">
        <f aca="false">Assumptions!$E$24*Assumptions!$B$6*Assumptions!$B$5</f>
        <v>13</v>
      </c>
      <c r="D6" s="106" t="n">
        <f aca="false">C6*16</f>
        <v>208</v>
      </c>
      <c r="E6" s="32" t="s">
        <v>336</v>
      </c>
    </row>
    <row r="7" customFormat="false" ht="24" hidden="false" customHeight="true" outlineLevel="0" collapsed="false">
      <c r="A7" s="40" t="s">
        <v>48</v>
      </c>
      <c r="B7" s="107" t="s">
        <v>337</v>
      </c>
      <c r="C7" s="108" t="n">
        <f aca="false">Assumptions!$E$25*Assumptions!$B$6*Assumptions!$B$5</f>
        <v>12</v>
      </c>
      <c r="D7" s="109" t="n">
        <f aca="false">C7*16</f>
        <v>192</v>
      </c>
      <c r="E7" s="11" t="s">
        <v>338</v>
      </c>
    </row>
    <row r="8" customFormat="false" ht="24" hidden="false" customHeight="true" outlineLevel="0" collapsed="false">
      <c r="A8" s="103" t="s">
        <v>339</v>
      </c>
      <c r="B8" s="104" t="s">
        <v>340</v>
      </c>
      <c r="C8" s="105" t="n">
        <f aca="false">Assumptions!$E$26*Assumptions!$B$6*Assumptions!$B$5</f>
        <v>8</v>
      </c>
      <c r="D8" s="106" t="n">
        <f aca="false">C8*16</f>
        <v>128</v>
      </c>
      <c r="E8" s="32" t="s">
        <v>341</v>
      </c>
    </row>
    <row r="9" customFormat="false" ht="27.75" hidden="false" customHeight="true" outlineLevel="0" collapsed="false">
      <c r="A9" s="110" t="s">
        <v>342</v>
      </c>
      <c r="B9" s="110"/>
      <c r="C9" s="111" t="n">
        <f aca="false">SUM(C4:C8)</f>
        <v>74</v>
      </c>
      <c r="D9" s="111" t="n">
        <f aca="false">C9*16</f>
        <v>1184</v>
      </c>
      <c r="E9" s="112" t="s">
        <v>343</v>
      </c>
    </row>
    <row r="10" customFormat="false" ht="72" hidden="false" customHeight="true" outlineLevel="0" collapsed="false">
      <c r="A10" s="113" t="s">
        <v>344</v>
      </c>
      <c r="B10" s="113"/>
      <c r="C10" s="113"/>
      <c r="D10" s="113"/>
      <c r="E10" s="113"/>
    </row>
    <row r="11" customFormat="false" ht="36" hidden="false" customHeight="true" outlineLevel="0" collapsed="false">
      <c r="A11" s="114"/>
      <c r="B11" s="114"/>
      <c r="C11" s="114"/>
      <c r="D11" s="114"/>
      <c r="E11" s="114"/>
    </row>
    <row r="12" customFormat="false" ht="7.5" hidden="false" customHeight="true" outlineLevel="0" collapsed="false">
      <c r="A12" s="115" t="str">
        <f aca="false">"Note: Targets above represent full daily nutrition if all meals were aboard. With "&amp;TEXT(Assumptions!B12,"0")&amp;" lunches and "&amp;TEXT(Assumptions!B11,"0")&amp;" dinners eaten out, actual provisioning weight will be approximately 30–35% less. Use these totals as your maximum shopping ceiling and adjust down based on your specific meal plan."</f>
        <v>Note: Targets above represent full daily nutrition if all meals were aboard. With 4 lunches and 3 dinners eaten out, actual provisioning weight will be approximately 30–35% less. Use these totals as your maximum shopping ceiling and adjust down based on your specific meal plan.</v>
      </c>
      <c r="B12" s="115"/>
      <c r="C12" s="115"/>
      <c r="D12" s="115"/>
      <c r="E12" s="115"/>
    </row>
    <row r="13" customFormat="false" ht="24" hidden="false" customHeight="true" outlineLevel="0" collapsed="false">
      <c r="A13" s="114"/>
      <c r="B13" s="114"/>
      <c r="C13" s="114"/>
      <c r="D13" s="114"/>
      <c r="E13" s="114"/>
    </row>
    <row r="14" customFormat="false" ht="21.75" hidden="false" customHeight="true" outlineLevel="0" collapsed="false">
      <c r="A14" s="116" t="s">
        <v>345</v>
      </c>
      <c r="B14" s="116"/>
      <c r="C14" s="116"/>
      <c r="D14" s="116"/>
      <c r="E14" s="116"/>
    </row>
    <row r="15" customFormat="false" ht="15" hidden="false" customHeight="true" outlineLevel="0" collapsed="false">
      <c r="A15" s="117" t="s">
        <v>346</v>
      </c>
      <c r="B15" s="117"/>
      <c r="C15" s="117"/>
      <c r="D15" s="117"/>
      <c r="E15" s="117"/>
    </row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8">
    <mergeCell ref="A2:E2"/>
    <mergeCell ref="A9:B9"/>
    <mergeCell ref="A10:E10"/>
    <mergeCell ref="A11:E11"/>
    <mergeCell ref="A12:E12"/>
    <mergeCell ref="A13:E13"/>
    <mergeCell ref="A14:E14"/>
    <mergeCell ref="A15:E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2026-04-09T15:59:10Z</dcterms:created>
  <dc:creator>openpyxl</dc:creator>
  <dc:description/>
  <dc:language>en-US</dc:language>
  <cp:lastModifiedBy/>
  <dcterms:modified xsi:type="dcterms:W3CDTF">2026-04-15T13:24:19Z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